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irtrials.sharepoint.com/Shared Documents/AI &amp; algorithms/AI case study research/UK/(!) Prison and probation (OASys etc)/OASys &amp; OGRS/"/>
    </mc:Choice>
  </mc:AlternateContent>
  <xr:revisionPtr revIDLastSave="5" documentId="8_{D0FAEFF1-D123-4820-A51D-77758DDAD310}" xr6:coauthVersionLast="47" xr6:coauthVersionMax="47" xr10:uidLastSave="{FBAE170B-C4BF-432D-A74A-87ABC30D3C32}"/>
  <bookViews>
    <workbookView xWindow="-105" yWindow="0" windowWidth="14610" windowHeight="15585" firstSheet="2" activeTab="2" xr2:uid="{00000000-000D-0000-FFFF-FFFF00000000}"/>
  </bookViews>
  <sheets>
    <sheet name="Introduction" sheetId="7" r:id="rId1"/>
    <sheet name="OGRS3" sheetId="6" r:id="rId2"/>
    <sheet name="OGP" sheetId="1" r:id="rId3"/>
    <sheet name="OVP" sheetId="4" r:id="rId4"/>
    <sheet name="Lookup" sheetId="8" r:id="rId5"/>
    <sheet name="OGP example" sheetId="9" r:id="rId6"/>
    <sheet name="OVP example" sheetId="10" r:id="rId7"/>
    <sheet name="Lookup tables" sheetId="5" state="hidden" r:id="rId8"/>
  </sheets>
  <definedNames>
    <definedName name="_xlnm.Print_Area" localSheetId="2">OGP!$A$1:$E$33</definedName>
    <definedName name="_xlnm.Print_Area" localSheetId="3">OVP!$A$1:$E$41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F18" i="4" s="1"/>
  <c r="C28" i="4"/>
  <c r="D28" i="4" s="1"/>
  <c r="D18" i="1"/>
  <c r="D21" i="1"/>
  <c r="D20" i="1"/>
  <c r="D17" i="1"/>
  <c r="D16" i="1"/>
  <c r="D27" i="4"/>
  <c r="D25" i="4"/>
  <c r="C24" i="4"/>
  <c r="D24" i="4"/>
  <c r="C23" i="4"/>
  <c r="F23" i="4" s="1"/>
  <c r="F21" i="1"/>
  <c r="F20" i="1"/>
  <c r="F16" i="4"/>
  <c r="C17" i="4"/>
  <c r="F17" i="4"/>
  <c r="B21" i="6"/>
  <c r="B27" i="6"/>
  <c r="B24" i="6"/>
  <c r="D17" i="4"/>
  <c r="D16" i="4"/>
  <c r="D19" i="1"/>
  <c r="C15" i="4"/>
  <c r="D15" i="4"/>
  <c r="C19" i="4"/>
  <c r="D19" i="4" s="1"/>
  <c r="D22" i="4"/>
  <c r="D26" i="4"/>
  <c r="F25" i="4"/>
  <c r="B22" i="6"/>
  <c r="B25" i="6"/>
  <c r="B23" i="6"/>
  <c r="B26" i="6" s="1"/>
  <c r="C34" i="5"/>
  <c r="D34" i="5"/>
  <c r="E33" i="4"/>
  <c r="E32" i="4"/>
  <c r="E35" i="4"/>
  <c r="F27" i="4"/>
  <c r="F24" i="4"/>
  <c r="E24" i="1"/>
  <c r="F19" i="1"/>
  <c r="F18" i="1"/>
  <c r="F17" i="1"/>
  <c r="F16" i="1"/>
  <c r="D32" i="4" l="1"/>
  <c r="B28" i="6"/>
  <c r="B33" i="6" s="1"/>
  <c r="C15" i="1" s="1"/>
  <c r="D15" i="1" s="1"/>
  <c r="F15" i="1" s="1"/>
  <c r="F28" i="4"/>
  <c r="D23" i="4"/>
  <c r="B32" i="6" l="1"/>
  <c r="D24" i="1"/>
  <c r="E30" i="1" s="1"/>
  <c r="D33" i="4"/>
  <c r="D35" i="4"/>
  <c r="E28" i="1" l="1"/>
  <c r="E41" i="4"/>
  <c r="E39" i="4"/>
</calcChain>
</file>

<file path=xl/sharedStrings.xml><?xml version="1.0" encoding="utf-8"?>
<sst xmlns="http://schemas.openxmlformats.org/spreadsheetml/2006/main" count="370" uniqueCount="187">
  <si>
    <t>OASys question(s)</t>
  </si>
  <si>
    <t>Description</t>
  </si>
  <si>
    <t>score</t>
  </si>
  <si>
    <t>weighted score</t>
  </si>
  <si>
    <t>Maximum</t>
  </si>
  <si>
    <t>Offender's</t>
  </si>
  <si>
    <t xml:space="preserve">Weighted </t>
  </si>
  <si>
    <t>Explanation of error</t>
  </si>
  <si>
    <t>3.3 to 3.6</t>
  </si>
  <si>
    <t>Accommodation</t>
  </si>
  <si>
    <t>4.2 to 4.5</t>
  </si>
  <si>
    <t>Employability</t>
  </si>
  <si>
    <t>Regular activities encourage offending</t>
  </si>
  <si>
    <t>8.4, 8.5, 8.6, 8.8, 8.9</t>
  </si>
  <si>
    <t>Drug misuse (non-violent)</t>
  </si>
  <si>
    <t>Thinking and behaviour (non-violent)</t>
  </si>
  <si>
    <t>Attitudes</t>
  </si>
  <si>
    <t>Static items</t>
  </si>
  <si>
    <t>Dynamic items</t>
  </si>
  <si>
    <t>N/A</t>
  </si>
  <si>
    <t>Prev.viol.</t>
  </si>
  <si>
    <t>Score</t>
  </si>
  <si>
    <t>Prev.non-viol.</t>
  </si>
  <si>
    <t>No</t>
  </si>
  <si>
    <t>Yes</t>
  </si>
  <si>
    <t>Any previous sanctions?</t>
  </si>
  <si>
    <t>Age</t>
  </si>
  <si>
    <t>Sex of offender</t>
  </si>
  <si>
    <t>Male</t>
  </si>
  <si>
    <t>Female</t>
  </si>
  <si>
    <t>Recognises impact of offending on others?</t>
  </si>
  <si>
    <t>Alcohol misuse</t>
  </si>
  <si>
    <t>Temper control</t>
  </si>
  <si>
    <t>Total on dynamic items</t>
  </si>
  <si>
    <t>Total on static items</t>
  </si>
  <si>
    <t>Total OVP score</t>
  </si>
  <si>
    <t>When all questions are entered, the calculator works out the total score out of 100, and the corresponding</t>
  </si>
  <si>
    <t>The calculator transforms each of these into a weighted score.</t>
  </si>
  <si>
    <t>Weighted</t>
  </si>
  <si>
    <t>Total OGP score</t>
  </si>
  <si>
    <r>
      <t xml:space="preserve">3.3 to 3.6 </t>
    </r>
    <r>
      <rPr>
        <b/>
        <sz val="11"/>
        <rFont val="Arial"/>
        <family val="2"/>
      </rPr>
      <t>*</t>
    </r>
  </si>
  <si>
    <r>
      <t xml:space="preserve">4.2 to 4.5 </t>
    </r>
    <r>
      <rPr>
        <b/>
        <sz val="11"/>
        <rFont val="Arial"/>
        <family val="2"/>
      </rPr>
      <t>*</t>
    </r>
  </si>
  <si>
    <t>Items marked with a * will be auto-filled as you complete OGP</t>
  </si>
  <si>
    <t>Minimum age</t>
  </si>
  <si>
    <t>Age group</t>
  </si>
  <si>
    <t>Male parameter</t>
  </si>
  <si>
    <t>Female parameter</t>
  </si>
  <si>
    <t>16 to under 18</t>
  </si>
  <si>
    <t>18 to under 21</t>
  </si>
  <si>
    <t>21 to under 25</t>
  </si>
  <si>
    <t>25 to under 30</t>
  </si>
  <si>
    <t>30 to under 35</t>
  </si>
  <si>
    <t>35 to under 40</t>
  </si>
  <si>
    <t>40 to under 50</t>
  </si>
  <si>
    <t>50 and over</t>
  </si>
  <si>
    <t>Offence</t>
  </si>
  <si>
    <t>Parameter</t>
  </si>
  <si>
    <t>Violence</t>
  </si>
  <si>
    <t>Robbery</t>
  </si>
  <si>
    <t>Public order</t>
  </si>
  <si>
    <t>Sexual (not against child)</t>
  </si>
  <si>
    <t>Sexual (against child)</t>
  </si>
  <si>
    <t>Soliciting or prostitution</t>
  </si>
  <si>
    <t>Burglary (domestic)</t>
  </si>
  <si>
    <t>Burglary (other)</t>
  </si>
  <si>
    <t>Theft (non-motor)</t>
  </si>
  <si>
    <t>Handling stolen goods</t>
  </si>
  <si>
    <t>Fraud and forgery</t>
  </si>
  <si>
    <t>Absconding or bail offences</t>
  </si>
  <si>
    <t>Taking &amp; driving away and related offences</t>
  </si>
  <si>
    <t>Theft from vehicles</t>
  </si>
  <si>
    <t>Drink driving</t>
  </si>
  <si>
    <t>Other motoring</t>
  </si>
  <si>
    <t>Criminal damage</t>
  </si>
  <si>
    <t>Drug import/export/production</t>
  </si>
  <si>
    <t>Drug possession/supply</t>
  </si>
  <si>
    <t>Other offence</t>
  </si>
  <si>
    <t>OGRS 3 calculator</t>
  </si>
  <si>
    <t>Offender characteristic</t>
  </si>
  <si>
    <t>Your answer</t>
  </si>
  <si>
    <t>Gender</t>
  </si>
  <si>
    <t>Age at current conviction</t>
  </si>
  <si>
    <t>Age at start of followup</t>
  </si>
  <si>
    <t>Age at first sanction</t>
  </si>
  <si>
    <t>Current offence type</t>
  </si>
  <si>
    <t>Based on your answers, OGRS has worked out the following information</t>
  </si>
  <si>
    <t>Intermediate information used in calculating the score</t>
  </si>
  <si>
    <t>Offender's age group</t>
  </si>
  <si>
    <t>Offender's conviction status</t>
  </si>
  <si>
    <t>Offenders' Copas score (rate of offending)</t>
  </si>
  <si>
    <t>Age/gender parameter</t>
  </si>
  <si>
    <t>Conviction status parameter</t>
  </si>
  <si>
    <t>Copas parameter</t>
  </si>
  <si>
    <t>Offence group parameter</t>
  </si>
  <si>
    <t>Total of all parameters</t>
  </si>
  <si>
    <t>Final information</t>
  </si>
  <si>
    <t>Instructions</t>
  </si>
  <si>
    <t xml:space="preserve">  offender's current age.</t>
  </si>
  <si>
    <t xml:space="preserve">  If the offender has been discharged from custody, it is their age at the start of the licence period.</t>
  </si>
  <si>
    <t xml:space="preserve">  If the offender is still in custody, it is their age at the earliest date when they might be discharged.</t>
  </si>
  <si>
    <t xml:space="preserve">  if this date has not yet been passed.  If it has been passed, then use the next date on which </t>
  </si>
  <si>
    <t xml:space="preserve">   the offender should be considered for discharge or automatically discharged.</t>
  </si>
  <si>
    <r>
      <t>Age at current conviction</t>
    </r>
    <r>
      <rPr>
        <sz val="10"/>
        <rFont val="Arial"/>
        <family val="2"/>
      </rPr>
      <t xml:space="preserve">: for sentenced offenders, this is the age at sentence.  For PSRs, it is the </t>
    </r>
  </si>
  <si>
    <t xml:space="preserve">  Depending on the sentence type, it might be the Conditional Release Date or Parole Eligibility Date </t>
  </si>
  <si>
    <t>OGRS3 score transformed into number to avoid problems in OGP sheet</t>
  </si>
  <si>
    <t>Items marked with a * will be auto-filled as you complete OGRS3</t>
  </si>
  <si>
    <t>N/A *</t>
  </si>
  <si>
    <t>OGRS3 likelihood of proven reoffending 2 year %</t>
  </si>
  <si>
    <t>N/A ^</t>
  </si>
  <si>
    <t>Case ID section ^</t>
  </si>
  <si>
    <t xml:space="preserve">The calculator will transform each of these into a weighted score.  </t>
  </si>
  <si>
    <t>Questions marked ^ and * will be scored automatically as you complete OGRS3 and OGP.</t>
  </si>
  <si>
    <r>
      <t>Total violent-type</t>
    </r>
    <r>
      <rPr>
        <i/>
        <sz val="11"/>
        <rFont val="Arial"/>
        <family val="2"/>
      </rPr>
      <t xml:space="preserve"> [see note below]</t>
    </r>
    <r>
      <rPr>
        <sz val="11"/>
        <rFont val="Arial"/>
        <family val="2"/>
      </rPr>
      <t xml:space="preserve"> sanctions</t>
    </r>
  </si>
  <si>
    <t>Total non-violent sanctions</t>
  </si>
  <si>
    <r>
      <t>Sanctions</t>
    </r>
    <r>
      <rPr>
        <sz val="10"/>
        <rFont val="Arial"/>
        <family val="2"/>
      </rPr>
      <t xml:space="preserve">: a sanction is a caution, reprimand or final warning, or a court appearance resulting in </t>
    </r>
  </si>
  <si>
    <t xml:space="preserve">  conviction. A sanction can be for one or many offences, provided they are all dealt with on the same day.</t>
  </si>
  <si>
    <t xml:space="preserve"> - the Offender Group Reconviction Scale version 3 (OGRS3)</t>
  </si>
  <si>
    <t>-  the OASys General reoffending Predictor (OGP)</t>
  </si>
  <si>
    <t>-  the OASys Violence Predictor (OVP)</t>
  </si>
  <si>
    <t>There is a separate page for each predictor.  Each page asks you to input between five and seven</t>
  </si>
  <si>
    <t xml:space="preserve">  pieces of information.  The OGRS3 information can all be found in criminal records and case</t>
  </si>
  <si>
    <t xml:space="preserve">  records, but OGP and OVP include information from sections 3 to 12 of OASys.</t>
  </si>
  <si>
    <t xml:space="preserve">Please complete the pages in order, starting with OGRS3 and finishing with OVP. </t>
  </si>
  <si>
    <t>The calculator copies information from OGRS3 into OGP and OVP, and from OGP and OVP.</t>
  </si>
  <si>
    <t>Using the calculator</t>
  </si>
  <si>
    <t>Questions marked * will be scored automatically as you complete OGRS3.</t>
  </si>
  <si>
    <t>Items marked with a ^ will be auto-filled as you complete OGRS3 (non-violent sanctions = previous sanctions - violent-type sanctions)</t>
  </si>
  <si>
    <t>Drink driving and related offences</t>
  </si>
  <si>
    <t xml:space="preserve">See instructions below on how to calculate "Age at current conviction" and "Age at start of followup", </t>
  </si>
  <si>
    <t xml:space="preserve">  and for details of sanctions and offence types.</t>
  </si>
  <si>
    <t xml:space="preserve">  covered by each of the 20 categories, using the Home Office offence code format.</t>
  </si>
  <si>
    <r>
      <t>Current offence type</t>
    </r>
    <r>
      <rPr>
        <i/>
        <sz val="10"/>
        <rFont val="Arial"/>
        <family val="2"/>
      </rPr>
      <t>: please see 'OGRS 3 current offence categories.doc', which lists the offences</t>
    </r>
  </si>
  <si>
    <t xml:space="preserve"> If a custodial sentence has not been received, this is the same as 'age at current conviction'.</t>
  </si>
  <si>
    <r>
      <t>Age at start of followup</t>
    </r>
    <r>
      <rPr>
        <sz val="10"/>
        <rFont val="Arial"/>
        <family val="2"/>
      </rPr>
      <t xml:space="preserve">: the underlying principle is that this age is based upon the date from which the </t>
    </r>
  </si>
  <si>
    <t xml:space="preserve">  offender could be in a position to reoffend again (ignoring offences committed whilst in custody).</t>
  </si>
  <si>
    <t xml:space="preserve">  - criminal damage, other than arson</t>
  </si>
  <si>
    <t xml:space="preserve">  - arson</t>
  </si>
  <si>
    <t xml:space="preserve">  - all sexual offences</t>
  </si>
  <si>
    <t xml:space="preserve">  - causing death by dangerous/drunk driving or aggravated vehicle taking</t>
  </si>
  <si>
    <t xml:space="preserve">  - public order offences, including harassment</t>
  </si>
  <si>
    <t>10 to under 12</t>
  </si>
  <si>
    <t>12 to under 14</t>
  </si>
  <si>
    <t>14 to under 16</t>
  </si>
  <si>
    <t>Number of previous sanctions</t>
  </si>
  <si>
    <t>Likelihood of proven non-OVP reoffending within 1 year:</t>
  </si>
  <si>
    <t>Likelihood of proven non-OVP reoffending within 2 years:</t>
  </si>
  <si>
    <r>
      <t>"Non-OVP reoffending"</t>
    </r>
    <r>
      <rPr>
        <sz val="10"/>
        <rFont val="Arial"/>
      </rPr>
      <t xml:space="preserve"> includes</t>
    </r>
  </si>
  <si>
    <r>
      <t>Note</t>
    </r>
    <r>
      <rPr>
        <sz val="10"/>
        <rFont val="Arial"/>
      </rPr>
      <t>: in OGP and OVP, "</t>
    </r>
    <r>
      <rPr>
        <b/>
        <i/>
        <sz val="10"/>
        <rFont val="Arial"/>
        <family val="2"/>
      </rPr>
      <t>OVP reoffending"</t>
    </r>
    <r>
      <rPr>
        <sz val="10"/>
        <rFont val="Arial"/>
      </rPr>
      <t xml:space="preserve"> includes</t>
    </r>
  </si>
  <si>
    <r>
      <t>Sexual reoffending</t>
    </r>
    <r>
      <rPr>
        <sz val="10"/>
        <rFont val="Arial"/>
      </rPr>
      <t xml:space="preserve"> is best assessed using Risk Matrix 2000.</t>
    </r>
  </si>
  <si>
    <r>
      <t xml:space="preserve">likelihood of proven </t>
    </r>
    <r>
      <rPr>
        <b/>
        <sz val="10"/>
        <rFont val="Arial"/>
        <family val="2"/>
      </rPr>
      <t>non-OVP</t>
    </r>
    <r>
      <rPr>
        <sz val="10"/>
        <rFont val="Arial"/>
      </rPr>
      <t xml:space="preserve"> reoffending (see note below) within 1 and 2 years.</t>
    </r>
  </si>
  <si>
    <t>The cells you need to complete are in this mustard-coloured background; all others are filled in for you.</t>
  </si>
  <si>
    <r>
      <t>How to use this calculator</t>
    </r>
    <r>
      <rPr>
        <sz val="10"/>
        <rFont val="Arial"/>
      </rPr>
      <t>: input answers to each question coloured like this, using dropdown lists where available.</t>
    </r>
  </si>
  <si>
    <t>% likelihood of any proven reoffending within 1 year</t>
  </si>
  <si>
    <t>% likelihood of any proven reoffending within 2 years</t>
  </si>
  <si>
    <t>Likelihood of proven violent-type reoffending within 1 year:</t>
  </si>
  <si>
    <t>Likelihood of proven violent-type reoffending within 2 years:</t>
  </si>
  <si>
    <t xml:space="preserve">  - robbery and aggravated burglary</t>
  </si>
  <si>
    <t xml:space="preserve">  - violence against the person offences, including weapon possession, but not motoring-related violence (see below)</t>
  </si>
  <si>
    <r>
      <t xml:space="preserve">Robbery </t>
    </r>
    <r>
      <rPr>
        <sz val="10"/>
        <rFont val="Arial"/>
        <family val="2"/>
      </rPr>
      <t xml:space="preserve">and </t>
    </r>
    <r>
      <rPr>
        <b/>
        <i/>
        <sz val="10"/>
        <rFont val="Arial"/>
        <family val="2"/>
      </rPr>
      <t>aggravated burglary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reoffending</t>
    </r>
    <r>
      <rPr>
        <sz val="10"/>
        <rFont val="Arial"/>
        <family val="2"/>
      </rPr>
      <t xml:space="preserve"> is most likely when offenders score highly on both OGP and OVP</t>
    </r>
  </si>
  <si>
    <t xml:space="preserve">(The division between "OVP" and "non-OVP" reoffending is based on patterns of offending and reoffending, </t>
  </si>
  <si>
    <t xml:space="preserve">  offending-related needs, and whether any violence occurs in the offence.) </t>
  </si>
  <si>
    <t>Current psychiatric treatment, or treatment pending</t>
  </si>
  <si>
    <t>9.1 and 9.2</t>
  </si>
  <si>
    <t>11.5, 11.6, 11.7, 11.9</t>
  </si>
  <si>
    <t>12.1,12.4, 12.5, 12.8</t>
  </si>
  <si>
    <r>
      <t xml:space="preserve">12.1,12.4, 12.5, 12.8 </t>
    </r>
    <r>
      <rPr>
        <b/>
        <sz val="11"/>
        <rFont val="Arial"/>
        <family val="2"/>
      </rPr>
      <t>*</t>
    </r>
  </si>
  <si>
    <t>Section 1</t>
  </si>
  <si>
    <t>Likelihood of proven general reoffending within 1 year:</t>
  </si>
  <si>
    <t>Likelihood of proven general reoffending within 2 years:</t>
  </si>
  <si>
    <t>OGP score band</t>
  </si>
  <si>
    <t>Low</t>
  </si>
  <si>
    <t>Drug misuse</t>
  </si>
  <si>
    <t>Thinking and behaviour</t>
  </si>
  <si>
    <t>Maximum possible</t>
  </si>
  <si>
    <t>raw score</t>
  </si>
  <si>
    <t>OVP score band</t>
  </si>
  <si>
    <t>OGRS3 2 year %</t>
  </si>
  <si>
    <t>Case ID section</t>
  </si>
  <si>
    <t>Medium</t>
  </si>
  <si>
    <t>Total violent-type sanctions</t>
  </si>
  <si>
    <t>OGRS 3, OGP and OVP calculator: introduction for users</t>
  </si>
  <si>
    <t>This spreadsheet calculates scores for individual offenders on three predictors of reoffending:</t>
  </si>
  <si>
    <t>OASys General reoffending Predictor (OGP) calculator</t>
  </si>
  <si>
    <t>OASys Violence Predictor (OVP) calculator</t>
  </si>
  <si>
    <r>
      <t>likelihood of proven</t>
    </r>
    <r>
      <rPr>
        <b/>
        <sz val="10"/>
        <rFont val="Arial"/>
        <family val="2"/>
      </rPr>
      <t xml:space="preserve"> violence-against-the-person, violent acquistive, criminal damage and public order</t>
    </r>
    <r>
      <rPr>
        <sz val="10"/>
        <rFont val="Arial"/>
      </rPr>
      <t xml:space="preserve"> reoffending within 1 and 2 years.</t>
    </r>
  </si>
  <si>
    <t>OVP score example</t>
  </si>
  <si>
    <t>OGP score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</si>
</sst>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quotePrefix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9" fontId="2" fillId="0" borderId="0" xfId="0" applyNumberFormat="1" applyFont="1"/>
    <xf numFmtId="1" fontId="12" fillId="0" borderId="0" xfId="0" applyNumberFormat="1" applyFont="1"/>
    <xf numFmtId="9" fontId="0" fillId="0" borderId="0" xfId="0" applyNumberFormat="1"/>
    <xf numFmtId="1" fontId="0" fillId="0" borderId="0" xfId="0" applyNumberFormat="1"/>
    <xf numFmtId="0" fontId="1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4" fontId="3" fillId="0" borderId="0" xfId="1" applyFont="1"/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5" fillId="2" borderId="0" xfId="0" applyFont="1" applyFill="1"/>
    <xf numFmtId="10" fontId="8" fillId="0" borderId="0" xfId="0" applyNumberFormat="1" applyFont="1"/>
    <xf numFmtId="0" fontId="8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1" fontId="15" fillId="0" borderId="0" xfId="0" applyNumberFormat="1" applyFont="1"/>
    <xf numFmtId="0" fontId="15" fillId="0" borderId="0" xfId="0" applyFont="1" applyAlignment="1">
      <alignment horizontal="left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9" workbookViewId="0">
      <selection activeCell="B4" sqref="B4"/>
    </sheetView>
  </sheetViews>
  <sheetFormatPr defaultRowHeight="12.75" x14ac:dyDescent="0.2"/>
  <sheetData>
    <row r="1" spans="1:10" ht="15.75" x14ac:dyDescent="0.25">
      <c r="A1" s="7" t="s">
        <v>180</v>
      </c>
    </row>
    <row r="2" spans="1:10" ht="15.75" x14ac:dyDescent="0.25">
      <c r="A2" s="7"/>
    </row>
    <row r="4" spans="1:10" x14ac:dyDescent="0.2">
      <c r="A4" t="s">
        <v>181</v>
      </c>
    </row>
    <row r="6" spans="1:10" x14ac:dyDescent="0.2">
      <c r="A6" t="s">
        <v>116</v>
      </c>
    </row>
    <row r="7" spans="1:10" x14ac:dyDescent="0.2">
      <c r="A7" s="19" t="s">
        <v>117</v>
      </c>
    </row>
    <row r="8" spans="1:10" x14ac:dyDescent="0.2">
      <c r="A8" s="19" t="s">
        <v>118</v>
      </c>
    </row>
    <row r="9" spans="1:10" x14ac:dyDescent="0.2">
      <c r="A9" s="19"/>
    </row>
    <row r="11" spans="1:10" x14ac:dyDescent="0.2">
      <c r="A11" s="4" t="s">
        <v>124</v>
      </c>
    </row>
    <row r="12" spans="1:10" x14ac:dyDescent="0.2">
      <c r="A12" s="4"/>
    </row>
    <row r="13" spans="1:10" x14ac:dyDescent="0.2">
      <c r="A13" t="s">
        <v>119</v>
      </c>
    </row>
    <row r="14" spans="1:10" x14ac:dyDescent="0.2">
      <c r="A14" t="s">
        <v>120</v>
      </c>
    </row>
    <row r="15" spans="1:10" x14ac:dyDescent="0.2">
      <c r="A15" t="s">
        <v>121</v>
      </c>
    </row>
    <row r="16" spans="1:10" x14ac:dyDescent="0.2">
      <c r="A16" s="32" t="s">
        <v>150</v>
      </c>
      <c r="B16" s="32"/>
      <c r="C16" s="32"/>
      <c r="D16" s="32"/>
      <c r="E16" s="32"/>
      <c r="F16" s="32"/>
      <c r="G16" s="32"/>
      <c r="H16" s="32"/>
      <c r="I16" s="32"/>
      <c r="J16" s="32"/>
    </row>
    <row r="18" spans="1:1" x14ac:dyDescent="0.2">
      <c r="A18" t="s">
        <v>122</v>
      </c>
    </row>
    <row r="19" spans="1:1" x14ac:dyDescent="0.2">
      <c r="A19" t="s">
        <v>123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workbookViewId="0">
      <selection activeCell="X22" sqref="X22"/>
    </sheetView>
  </sheetViews>
  <sheetFormatPr defaultRowHeight="12.75" x14ac:dyDescent="0.2"/>
  <cols>
    <col min="1" max="1" width="49.85546875" customWidth="1"/>
    <col min="2" max="2" width="46.85546875" customWidth="1"/>
    <col min="3" max="22" width="9.140625" hidden="1" customWidth="1"/>
  </cols>
  <sheetData>
    <row r="1" spans="1:22" ht="18" x14ac:dyDescent="0.25">
      <c r="A1" s="6" t="s">
        <v>77</v>
      </c>
    </row>
    <row r="4" spans="1:22" x14ac:dyDescent="0.2">
      <c r="A4" s="34" t="s">
        <v>151</v>
      </c>
      <c r="B4" s="32"/>
    </row>
    <row r="5" spans="1:22" x14ac:dyDescent="0.2">
      <c r="A5" t="s">
        <v>128</v>
      </c>
    </row>
    <row r="6" spans="1:22" x14ac:dyDescent="0.2">
      <c r="A6" t="s">
        <v>129</v>
      </c>
    </row>
    <row r="9" spans="1:22" x14ac:dyDescent="0.2">
      <c r="A9" s="4" t="s">
        <v>78</v>
      </c>
      <c r="B9" s="20" t="s">
        <v>79</v>
      </c>
    </row>
    <row r="10" spans="1:22" x14ac:dyDescent="0.2">
      <c r="A10" t="s">
        <v>80</v>
      </c>
      <c r="B10" s="33" t="s">
        <v>28</v>
      </c>
      <c r="C10" t="s">
        <v>28</v>
      </c>
      <c r="D10" t="s">
        <v>29</v>
      </c>
    </row>
    <row r="11" spans="1:22" x14ac:dyDescent="0.2">
      <c r="A11" t="s">
        <v>81</v>
      </c>
      <c r="B11" s="33">
        <v>14</v>
      </c>
    </row>
    <row r="12" spans="1:22" x14ac:dyDescent="0.2">
      <c r="A12" t="s">
        <v>82</v>
      </c>
      <c r="B12" s="33">
        <v>14</v>
      </c>
    </row>
    <row r="13" spans="1:22" x14ac:dyDescent="0.2">
      <c r="A13" t="s">
        <v>143</v>
      </c>
      <c r="B13" s="33">
        <v>2</v>
      </c>
    </row>
    <row r="14" spans="1:22" x14ac:dyDescent="0.2">
      <c r="A14" t="s">
        <v>83</v>
      </c>
      <c r="B14" s="33">
        <v>14</v>
      </c>
    </row>
    <row r="15" spans="1:22" x14ac:dyDescent="0.2">
      <c r="A15" t="s">
        <v>84</v>
      </c>
      <c r="B15" s="33" t="s">
        <v>75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127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</row>
    <row r="16" spans="1:22" x14ac:dyDescent="0.2">
      <c r="B16" s="21"/>
      <c r="C16" t="s">
        <v>23</v>
      </c>
      <c r="D16" t="s">
        <v>24</v>
      </c>
    </row>
    <row r="18" spans="1:6" x14ac:dyDescent="0.2">
      <c r="A18" s="1" t="s">
        <v>85</v>
      </c>
    </row>
    <row r="20" spans="1:6" x14ac:dyDescent="0.2">
      <c r="A20" s="4" t="s">
        <v>86</v>
      </c>
    </row>
    <row r="21" spans="1:6" x14ac:dyDescent="0.2">
      <c r="A21" s="3" t="s">
        <v>87</v>
      </c>
      <c r="B21" s="22" t="str">
        <f>VLOOKUP(B12,Lookup!C2:F12,2,TRUE)</f>
        <v>14 to under 16</v>
      </c>
    </row>
    <row r="22" spans="1:6" x14ac:dyDescent="0.2">
      <c r="A22" s="3" t="s">
        <v>88</v>
      </c>
      <c r="B22" s="22" t="str">
        <f>IF(B13&gt;0,"Repeat offender","First time offender")</f>
        <v>Repeat offender</v>
      </c>
      <c r="C22" t="s">
        <v>43</v>
      </c>
      <c r="D22" t="s">
        <v>44</v>
      </c>
      <c r="E22" t="s">
        <v>45</v>
      </c>
      <c r="F22" t="s">
        <v>46</v>
      </c>
    </row>
    <row r="23" spans="1:6" x14ac:dyDescent="0.2">
      <c r="A23" s="3" t="s">
        <v>89</v>
      </c>
      <c r="B23" s="3">
        <f>LN((1+B13)/(10+B11-B14))</f>
        <v>-1.2039728043259361</v>
      </c>
      <c r="C23">
        <v>10</v>
      </c>
      <c r="D23" t="s">
        <v>140</v>
      </c>
      <c r="E23">
        <v>0</v>
      </c>
      <c r="F23">
        <v>0.78500000000000003</v>
      </c>
    </row>
    <row r="24" spans="1:6" x14ac:dyDescent="0.2">
      <c r="A24" s="3" t="s">
        <v>90</v>
      </c>
      <c r="B24" s="3">
        <f>IF(B10="Male",VLOOKUP(B12,Lookup!C2:F12,3,TRUE),VLOOKUP(B12,Lookup!C2:F12,4,TRUE))</f>
        <v>7.578E-2</v>
      </c>
      <c r="C24">
        <v>12</v>
      </c>
      <c r="D24" t="s">
        <v>141</v>
      </c>
      <c r="E24">
        <v>8.3919999999999995E-2</v>
      </c>
      <c r="F24">
        <v>0.61385000000000001</v>
      </c>
    </row>
    <row r="25" spans="1:6" x14ac:dyDescent="0.2">
      <c r="A25" s="3" t="s">
        <v>91</v>
      </c>
      <c r="B25" s="3">
        <f>IF(B22="Repeat offender",0.46306,0.12614)</f>
        <v>0.46306000000000003</v>
      </c>
      <c r="C25">
        <v>14</v>
      </c>
      <c r="D25" t="s">
        <v>142</v>
      </c>
      <c r="E25">
        <v>7.578E-2</v>
      </c>
      <c r="F25">
        <v>0.66952</v>
      </c>
    </row>
    <row r="26" spans="1:6" x14ac:dyDescent="0.2">
      <c r="A26" s="3" t="s">
        <v>92</v>
      </c>
      <c r="B26" s="3">
        <f>1.25112*B23</f>
        <v>-1.5063144549482652</v>
      </c>
      <c r="C26">
        <v>16</v>
      </c>
      <c r="D26" s="19" t="s">
        <v>47</v>
      </c>
      <c r="E26">
        <v>-6.1600000000000002E-2</v>
      </c>
      <c r="F26">
        <v>-0.95920000000000005</v>
      </c>
    </row>
    <row r="27" spans="1:6" x14ac:dyDescent="0.2">
      <c r="A27" s="3" t="s">
        <v>93</v>
      </c>
      <c r="B27" s="3">
        <f>VLOOKUP(B15,Lookup!C15:D34,2,FALSE)</f>
        <v>7.7200000000000005E-2</v>
      </c>
      <c r="C27">
        <v>18</v>
      </c>
      <c r="D27" s="19" t="s">
        <v>48</v>
      </c>
      <c r="E27">
        <v>-0.62509999999999999</v>
      </c>
      <c r="F27">
        <v>-0.89749999999999996</v>
      </c>
    </row>
    <row r="28" spans="1:6" x14ac:dyDescent="0.2">
      <c r="A28" s="3" t="s">
        <v>94</v>
      </c>
      <c r="B28" s="3">
        <f>SUM(B24:B27)</f>
        <v>-0.89027445494826518</v>
      </c>
      <c r="C28">
        <v>21</v>
      </c>
      <c r="D28" s="19" t="s">
        <v>49</v>
      </c>
      <c r="E28">
        <v>-1.0515000000000001</v>
      </c>
      <c r="F28">
        <v>-1.0285</v>
      </c>
    </row>
    <row r="29" spans="1:6" x14ac:dyDescent="0.2">
      <c r="C29">
        <v>25</v>
      </c>
      <c r="D29" s="19" t="s">
        <v>50</v>
      </c>
      <c r="E29">
        <v>-1.1667000000000001</v>
      </c>
      <c r="F29">
        <v>-1.0528</v>
      </c>
    </row>
    <row r="30" spans="1:6" x14ac:dyDescent="0.2">
      <c r="C30">
        <v>30</v>
      </c>
      <c r="D30" s="19" t="s">
        <v>51</v>
      </c>
      <c r="E30">
        <v>-1.3260000000000001</v>
      </c>
      <c r="F30">
        <v>-1.1291</v>
      </c>
    </row>
    <row r="31" spans="1:6" ht="15" x14ac:dyDescent="0.25">
      <c r="A31" s="12" t="s">
        <v>95</v>
      </c>
      <c r="C31">
        <v>35</v>
      </c>
      <c r="D31" s="19" t="s">
        <v>52</v>
      </c>
      <c r="E31">
        <v>-1.3680000000000001</v>
      </c>
      <c r="F31">
        <v>-1.4218999999999999</v>
      </c>
    </row>
    <row r="32" spans="1:6" x14ac:dyDescent="0.2">
      <c r="A32" s="1" t="s">
        <v>152</v>
      </c>
      <c r="B32" s="23">
        <f>(EXP(1.40256+B28))/(1+(EXP(1.40256+B28)))</f>
        <v>0.62534210655950229</v>
      </c>
      <c r="C32">
        <v>40</v>
      </c>
      <c r="D32" s="19" t="s">
        <v>53</v>
      </c>
      <c r="E32">
        <v>-1.4997</v>
      </c>
      <c r="F32">
        <v>-1.5246999999999999</v>
      </c>
    </row>
    <row r="33" spans="1:6" x14ac:dyDescent="0.2">
      <c r="A33" s="1" t="s">
        <v>153</v>
      </c>
      <c r="B33" s="23">
        <f>(EXP(2.1217+B28))/(1+(EXP(2.1217+B28)))</f>
        <v>0.77406798059902271</v>
      </c>
      <c r="C33">
        <v>50</v>
      </c>
      <c r="D33" t="s">
        <v>54</v>
      </c>
      <c r="E33">
        <v>-2.0253000000000001</v>
      </c>
      <c r="F33">
        <v>-2.4498000000000002</v>
      </c>
    </row>
    <row r="34" spans="1:6" x14ac:dyDescent="0.2">
      <c r="A34" s="1"/>
      <c r="B34" s="23"/>
      <c r="C34" t="s">
        <v>57</v>
      </c>
      <c r="D34">
        <v>0</v>
      </c>
    </row>
    <row r="35" spans="1:6" x14ac:dyDescent="0.2">
      <c r="C35" t="s">
        <v>58</v>
      </c>
      <c r="D35">
        <v>-0.63480000000000003</v>
      </c>
    </row>
    <row r="36" spans="1:6" x14ac:dyDescent="0.2">
      <c r="A36" s="1" t="s">
        <v>96</v>
      </c>
      <c r="C36" t="s">
        <v>59</v>
      </c>
      <c r="D36">
        <v>0.18190000000000001</v>
      </c>
    </row>
    <row r="37" spans="1:6" s="2" customFormat="1" x14ac:dyDescent="0.2">
      <c r="A37" s="4" t="s">
        <v>102</v>
      </c>
      <c r="C37" t="s">
        <v>60</v>
      </c>
      <c r="D37">
        <v>3.2800000000000003E-2</v>
      </c>
      <c r="E37"/>
      <c r="F37"/>
    </row>
    <row r="38" spans="1:6" s="2" customFormat="1" x14ac:dyDescent="0.2">
      <c r="A38" s="2" t="s">
        <v>97</v>
      </c>
      <c r="C38" t="s">
        <v>61</v>
      </c>
      <c r="D38">
        <v>-0.65339999999999998</v>
      </c>
      <c r="E38"/>
      <c r="F38"/>
    </row>
    <row r="39" spans="1:6" s="2" customFormat="1" x14ac:dyDescent="0.2">
      <c r="A39" s="4" t="s">
        <v>133</v>
      </c>
      <c r="C39" t="s">
        <v>62</v>
      </c>
      <c r="D39">
        <v>0.76060000000000005</v>
      </c>
      <c r="E39"/>
      <c r="F39"/>
    </row>
    <row r="40" spans="1:6" x14ac:dyDescent="0.2">
      <c r="A40" s="2" t="s">
        <v>134</v>
      </c>
      <c r="C40" t="s">
        <v>63</v>
      </c>
      <c r="D40">
        <v>-0.1239</v>
      </c>
    </row>
    <row r="41" spans="1:6" s="2" customFormat="1" x14ac:dyDescent="0.2">
      <c r="A41" s="29" t="s">
        <v>132</v>
      </c>
      <c r="C41" t="s">
        <v>64</v>
      </c>
      <c r="D41">
        <v>0.24060000000000001</v>
      </c>
      <c r="E41"/>
      <c r="F41"/>
    </row>
    <row r="42" spans="1:6" s="2" customFormat="1" x14ac:dyDescent="0.2">
      <c r="A42" s="2" t="s">
        <v>98</v>
      </c>
      <c r="C42" t="s">
        <v>65</v>
      </c>
      <c r="D42">
        <v>0.66120000000000001</v>
      </c>
      <c r="E42"/>
      <c r="F42"/>
    </row>
    <row r="43" spans="1:6" s="2" customFormat="1" x14ac:dyDescent="0.2">
      <c r="A43" s="2" t="s">
        <v>99</v>
      </c>
      <c r="C43" t="s">
        <v>66</v>
      </c>
      <c r="D43">
        <v>0.35189999999999999</v>
      </c>
      <c r="E43"/>
      <c r="F43"/>
    </row>
    <row r="44" spans="1:6" s="2" customFormat="1" x14ac:dyDescent="0.2">
      <c r="A44" s="2" t="s">
        <v>103</v>
      </c>
      <c r="C44" t="s">
        <v>67</v>
      </c>
      <c r="D44">
        <v>0.15989999999999999</v>
      </c>
      <c r="E44"/>
      <c r="F44"/>
    </row>
    <row r="45" spans="1:6" s="2" customFormat="1" x14ac:dyDescent="0.2">
      <c r="A45" s="2" t="s">
        <v>100</v>
      </c>
      <c r="C45" t="s">
        <v>68</v>
      </c>
      <c r="D45">
        <v>0.73340000000000005</v>
      </c>
      <c r="E45"/>
      <c r="F45"/>
    </row>
    <row r="46" spans="1:6" s="2" customFormat="1" x14ac:dyDescent="0.2">
      <c r="A46" s="2" t="s">
        <v>101</v>
      </c>
      <c r="C46" t="s">
        <v>69</v>
      </c>
      <c r="D46">
        <v>0.38009999999999999</v>
      </c>
      <c r="E46"/>
      <c r="F46"/>
    </row>
    <row r="47" spans="1:6" x14ac:dyDescent="0.2">
      <c r="A47" s="4" t="s">
        <v>114</v>
      </c>
      <c r="C47" t="s">
        <v>70</v>
      </c>
      <c r="D47">
        <v>0.42720000000000002</v>
      </c>
    </row>
    <row r="48" spans="1:6" x14ac:dyDescent="0.2">
      <c r="A48" s="2" t="s">
        <v>115</v>
      </c>
      <c r="C48" t="s">
        <v>72</v>
      </c>
      <c r="D48">
        <v>0.26219999999999999</v>
      </c>
    </row>
    <row r="49" spans="1:4" x14ac:dyDescent="0.2">
      <c r="A49" s="4" t="s">
        <v>131</v>
      </c>
      <c r="C49" t="s">
        <v>71</v>
      </c>
      <c r="D49">
        <v>-0.12139999999999999</v>
      </c>
    </row>
    <row r="50" spans="1:4" x14ac:dyDescent="0.2">
      <c r="A50" s="2" t="s">
        <v>130</v>
      </c>
      <c r="C50" t="s">
        <v>73</v>
      </c>
      <c r="D50">
        <v>0.20499999999999999</v>
      </c>
    </row>
    <row r="51" spans="1:4" x14ac:dyDescent="0.2">
      <c r="A51" s="2"/>
      <c r="C51" t="s">
        <v>74</v>
      </c>
      <c r="D51">
        <v>-0.79559999999999997</v>
      </c>
    </row>
    <row r="52" spans="1:4" x14ac:dyDescent="0.2">
      <c r="C52" t="s">
        <v>75</v>
      </c>
      <c r="D52">
        <v>7.7200000000000005E-2</v>
      </c>
    </row>
    <row r="53" spans="1:4" x14ac:dyDescent="0.2">
      <c r="C53" t="s">
        <v>76</v>
      </c>
      <c r="D53">
        <v>-6.0699999999999997E-2</v>
      </c>
    </row>
  </sheetData>
  <phoneticPr fontId="4" type="noConversion"/>
  <dataValidations count="5">
    <dataValidation type="list" allowBlank="1" showInputMessage="1" showErrorMessage="1" sqref="B10" xr:uid="{00000000-0002-0000-0100-000000000000}">
      <formula1>$C$10:$D$10</formula1>
    </dataValidation>
    <dataValidation type="whole" allowBlank="1" showInputMessage="1" showErrorMessage="1" sqref="B13" xr:uid="{00000000-0002-0000-0100-000001000000}">
      <formula1>0</formula1>
      <formula2>999</formula2>
    </dataValidation>
    <dataValidation type="whole" allowBlank="1" showInputMessage="1" showErrorMessage="1" sqref="B14 B11:B12" xr:uid="{00000000-0002-0000-0100-000002000000}">
      <formula1>10</formula1>
      <formula2>99</formula2>
    </dataValidation>
    <dataValidation type="list" allowBlank="1" showInputMessage="1" showErrorMessage="1" sqref="B15" xr:uid="{00000000-0002-0000-0100-000003000000}">
      <formula1>$C$15:$V$15</formula1>
    </dataValidation>
    <dataValidation type="list" allowBlank="1" showInputMessage="1" showErrorMessage="1" sqref="B16" xr:uid="{00000000-0002-0000-0100-000004000000}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tabSelected="1" workbookViewId="0">
      <selection activeCell="D24" sqref="D24"/>
    </sheetView>
  </sheetViews>
  <sheetFormatPr defaultRowHeight="12.75" x14ac:dyDescent="0.2"/>
  <cols>
    <col min="1" max="1" width="22.85546875" customWidth="1"/>
    <col min="2" max="2" width="46.140625" customWidth="1"/>
    <col min="3" max="3" width="11.140625" customWidth="1"/>
    <col min="4" max="4" width="11.140625" bestFit="1" customWidth="1"/>
    <col min="5" max="5" width="15.42578125" style="3" customWidth="1"/>
    <col min="6" max="6" width="9.28515625" bestFit="1" customWidth="1"/>
  </cols>
  <sheetData>
    <row r="1" spans="1:6" ht="18" x14ac:dyDescent="0.25">
      <c r="A1" s="6" t="s">
        <v>182</v>
      </c>
    </row>
    <row r="2" spans="1:6" ht="18" x14ac:dyDescent="0.25">
      <c r="A2" s="6"/>
    </row>
    <row r="4" spans="1:6" x14ac:dyDescent="0.2">
      <c r="A4" s="34" t="s">
        <v>151</v>
      </c>
      <c r="B4" s="32"/>
      <c r="C4" s="32"/>
      <c r="D4" s="32"/>
      <c r="E4" s="35"/>
    </row>
    <row r="5" spans="1:6" x14ac:dyDescent="0.2">
      <c r="A5" s="2" t="s">
        <v>37</v>
      </c>
    </row>
    <row r="6" spans="1:6" x14ac:dyDescent="0.2">
      <c r="A6" s="2" t="s">
        <v>125</v>
      </c>
    </row>
    <row r="7" spans="1:6" x14ac:dyDescent="0.2">
      <c r="A7" t="s">
        <v>36</v>
      </c>
    </row>
    <row r="8" spans="1:6" x14ac:dyDescent="0.2">
      <c r="A8" t="s">
        <v>149</v>
      </c>
    </row>
    <row r="12" spans="1:6" ht="15" x14ac:dyDescent="0.25">
      <c r="A12" s="12" t="s">
        <v>0</v>
      </c>
      <c r="B12" s="12" t="s">
        <v>1</v>
      </c>
      <c r="C12" s="13" t="s">
        <v>5</v>
      </c>
      <c r="D12" s="13" t="s">
        <v>38</v>
      </c>
      <c r="E12" s="9" t="s">
        <v>4</v>
      </c>
      <c r="F12" s="1" t="s">
        <v>7</v>
      </c>
    </row>
    <row r="13" spans="1:6" ht="15" x14ac:dyDescent="0.25">
      <c r="A13" s="14"/>
      <c r="B13" s="14"/>
      <c r="C13" s="13" t="s">
        <v>2</v>
      </c>
      <c r="D13" s="13" t="s">
        <v>2</v>
      </c>
      <c r="E13" s="9" t="s">
        <v>3</v>
      </c>
    </row>
    <row r="14" spans="1:6" ht="14.25" x14ac:dyDescent="0.2">
      <c r="A14" s="14"/>
      <c r="B14" s="14"/>
      <c r="C14" s="14"/>
      <c r="D14" s="14"/>
      <c r="E14" s="10"/>
    </row>
    <row r="15" spans="1:6" ht="14.25" x14ac:dyDescent="0.2">
      <c r="A15" s="16" t="s">
        <v>106</v>
      </c>
      <c r="B15" s="14" t="s">
        <v>107</v>
      </c>
      <c r="C15" s="24">
        <f>100*OGRS3!B33</f>
        <v>77.406798059902272</v>
      </c>
      <c r="D15" s="14">
        <f>ROUND(C15*0.6,0)</f>
        <v>46</v>
      </c>
      <c r="E15" s="10">
        <v>60</v>
      </c>
      <c r="F15" t="str">
        <f>IF(ISERROR(D15),"OGRS 3 not completed","")</f>
        <v/>
      </c>
    </row>
    <row r="16" spans="1:6" ht="14.25" x14ac:dyDescent="0.2">
      <c r="A16" s="16" t="s">
        <v>8</v>
      </c>
      <c r="B16" s="14" t="s">
        <v>9</v>
      </c>
      <c r="C16" s="30">
        <v>8</v>
      </c>
      <c r="D16" s="14">
        <f>IF(AND(C16&lt;=8,C16&gt;=0,C16=INT(C16)),ROUND(C16*5/8,0),"ERROR")</f>
        <v>5</v>
      </c>
      <c r="E16" s="10">
        <v>5</v>
      </c>
      <c r="F16" t="str">
        <f>IF(AND(C16&lt;=8,C16&gt;=0,C16=INT(C16)),"","Please enter a whole number between 0 and 8")</f>
        <v/>
      </c>
    </row>
    <row r="17" spans="1:6" ht="14.25" x14ac:dyDescent="0.2">
      <c r="A17" s="16" t="s">
        <v>10</v>
      </c>
      <c r="B17" s="14" t="s">
        <v>11</v>
      </c>
      <c r="C17" s="30">
        <v>5</v>
      </c>
      <c r="D17" s="14">
        <f>IF(AND(C17&lt;=8,C17&gt;=0,C17=INT(C17)),ROUND(C17*5/8,0),"ERROR")</f>
        <v>3</v>
      </c>
      <c r="E17" s="10">
        <v>5</v>
      </c>
      <c r="F17" t="str">
        <f>IF(AND(C17&lt;=8,C17&gt;=0,C17=INT(C17)),"","Please enter a whole number between 0 and 8")</f>
        <v/>
      </c>
    </row>
    <row r="18" spans="1:6" ht="14.25" x14ac:dyDescent="0.2">
      <c r="A18" s="16">
        <v>7.2</v>
      </c>
      <c r="B18" s="14" t="s">
        <v>12</v>
      </c>
      <c r="C18" s="30">
        <v>2</v>
      </c>
      <c r="D18" s="14">
        <f>IF(AND(C18&lt;=2,C18&gt;=0,C18=INT(C18)),ROUND(C18*2.5,0),"ERROR")</f>
        <v>5</v>
      </c>
      <c r="E18" s="10">
        <v>5</v>
      </c>
      <c r="F18" t="str">
        <f>IF(AND(C18&lt;=2,C18&gt;=0,C18=INT(C18)),"","Please enter a whole number between 0 and 2")</f>
        <v/>
      </c>
    </row>
    <row r="19" spans="1:6" ht="14.25" x14ac:dyDescent="0.2">
      <c r="A19" s="16" t="s">
        <v>13</v>
      </c>
      <c r="B19" s="14" t="s">
        <v>14</v>
      </c>
      <c r="C19" s="30">
        <v>8</v>
      </c>
      <c r="D19" s="14">
        <f>IF(AND(C19&lt;=10,C19&gt;=0,C19=INT(C19)),ROUND(C19*1.5,0),"ERROR")</f>
        <v>12</v>
      </c>
      <c r="E19" s="10">
        <v>15</v>
      </c>
      <c r="F19" t="str">
        <f>IF(AND(C19&lt;=10,C19&gt;=0,C19=INT(C19)),"","Please enter a whole number between 0 and 10")</f>
        <v/>
      </c>
    </row>
    <row r="20" spans="1:6" ht="14.25" x14ac:dyDescent="0.2">
      <c r="A20" s="16" t="s">
        <v>163</v>
      </c>
      <c r="B20" s="14" t="s">
        <v>15</v>
      </c>
      <c r="C20" s="30">
        <v>8</v>
      </c>
      <c r="D20" s="14">
        <f>IF(AND(C20&lt;=8,C20&gt;=0,C20=INT(C20)),ROUND(C20*5/8,0),"ERROR")</f>
        <v>5</v>
      </c>
      <c r="E20" s="10">
        <v>5</v>
      </c>
      <c r="F20" t="str">
        <f>IF(AND(C20&lt;=8,C20&gt;=0,C20=INT(C20)),"","Please enter a whole number between 0 and 8")</f>
        <v/>
      </c>
    </row>
    <row r="21" spans="1:6" ht="14.25" x14ac:dyDescent="0.2">
      <c r="A21" s="16" t="s">
        <v>164</v>
      </c>
      <c r="B21" s="14" t="s">
        <v>16</v>
      </c>
      <c r="C21" s="30">
        <v>8</v>
      </c>
      <c r="D21" s="14">
        <f>IF(AND(C21&lt;=8,C21&gt;=0,C21=INT(C21)),ROUND(C21*5/8,0),"ERROR")</f>
        <v>5</v>
      </c>
      <c r="E21" s="10">
        <v>5</v>
      </c>
      <c r="F21" t="str">
        <f>IF(AND(C21&lt;=8,C21&gt;=0,C21=INT(C21)),"","Please enter a whole number between 0 and 8")</f>
        <v/>
      </c>
    </row>
    <row r="22" spans="1:6" ht="14.25" x14ac:dyDescent="0.2">
      <c r="A22" s="18" t="s">
        <v>105</v>
      </c>
      <c r="B22" s="14"/>
      <c r="C22" s="14"/>
      <c r="D22" s="14"/>
      <c r="E22" s="10"/>
    </row>
    <row r="23" spans="1:6" x14ac:dyDescent="0.2">
      <c r="A23" s="5"/>
      <c r="E23" s="10"/>
    </row>
    <row r="24" spans="1:6" s="1" customFormat="1" ht="15" x14ac:dyDescent="0.25">
      <c r="B24" s="12" t="s">
        <v>39</v>
      </c>
      <c r="C24" s="12"/>
      <c r="D24" s="12">
        <f>IF(OR(D15="ERROR",D16="ERROR",D17="ERROR",D18="ERROR",D19="ERROR",D20="ERROR",D21="ERROR"),"ERROR",SUM(D15:D21))</f>
        <v>81</v>
      </c>
      <c r="E24" s="11">
        <f>SUM(E15:E21)</f>
        <v>100</v>
      </c>
    </row>
    <row r="25" spans="1:6" s="1" customFormat="1" ht="15" hidden="1" x14ac:dyDescent="0.25">
      <c r="B25" s="12"/>
      <c r="C25" s="12"/>
      <c r="D25" s="12"/>
      <c r="E25" s="11"/>
    </row>
    <row r="26" spans="1:6" s="1" customFormat="1" ht="15" hidden="1" x14ac:dyDescent="0.25">
      <c r="B26" s="12"/>
      <c r="C26" s="12"/>
      <c r="D26" s="12"/>
      <c r="E26" s="11"/>
    </row>
    <row r="28" spans="1:6" ht="15.75" x14ac:dyDescent="0.25">
      <c r="A28" s="7" t="s">
        <v>144</v>
      </c>
      <c r="B28" s="7"/>
      <c r="E28" s="8">
        <f>ROUND(EXP((0.0616*D24)-3.6832)/(1+EXP((0.0616*D24)-3.6832)),2)</f>
        <v>0.79</v>
      </c>
      <c r="F28" s="36"/>
    </row>
    <row r="29" spans="1:6" ht="15.75" x14ac:dyDescent="0.25">
      <c r="B29" s="7"/>
      <c r="E29" s="8"/>
      <c r="F29" s="36"/>
    </row>
    <row r="30" spans="1:6" ht="15.75" x14ac:dyDescent="0.25">
      <c r="A30" s="7" t="s">
        <v>145</v>
      </c>
      <c r="B30" s="7"/>
      <c r="E30" s="8">
        <f>ROUND(EXP((0.0616*D24)-3.0795)/(1+EXP((0.0616*D24)-3.0795)),2)</f>
        <v>0.87</v>
      </c>
      <c r="F30" s="36"/>
    </row>
    <row r="33" spans="1:1" x14ac:dyDescent="0.2">
      <c r="A33" s="1" t="s">
        <v>147</v>
      </c>
    </row>
    <row r="34" spans="1:1" x14ac:dyDescent="0.2">
      <c r="A34" t="s">
        <v>157</v>
      </c>
    </row>
    <row r="35" spans="1:1" x14ac:dyDescent="0.2">
      <c r="A35" t="s">
        <v>139</v>
      </c>
    </row>
    <row r="36" spans="1:1" x14ac:dyDescent="0.2">
      <c r="A36" t="s">
        <v>135</v>
      </c>
    </row>
    <row r="37" spans="1:1" x14ac:dyDescent="0.2">
      <c r="A37" t="s">
        <v>156</v>
      </c>
    </row>
    <row r="38" spans="1:1" x14ac:dyDescent="0.2">
      <c r="A38" s="4" t="s">
        <v>146</v>
      </c>
    </row>
    <row r="39" spans="1:1" x14ac:dyDescent="0.2">
      <c r="A39" t="s">
        <v>138</v>
      </c>
    </row>
    <row r="40" spans="1:1" x14ac:dyDescent="0.2">
      <c r="A40" t="s">
        <v>136</v>
      </c>
    </row>
    <row r="41" spans="1:1" x14ac:dyDescent="0.2">
      <c r="A41" t="s">
        <v>137</v>
      </c>
    </row>
    <row r="42" spans="1:1" x14ac:dyDescent="0.2">
      <c r="A42" s="4" t="s">
        <v>158</v>
      </c>
    </row>
    <row r="43" spans="1:1" x14ac:dyDescent="0.2">
      <c r="A43" s="4" t="s">
        <v>148</v>
      </c>
    </row>
    <row r="44" spans="1:1" x14ac:dyDescent="0.2">
      <c r="A44" t="s">
        <v>159</v>
      </c>
    </row>
    <row r="45" spans="1:1" x14ac:dyDescent="0.2">
      <c r="A45" t="s">
        <v>160</v>
      </c>
    </row>
  </sheetData>
  <phoneticPr fontId="4" type="noConversion"/>
  <pageMargins left="0.75" right="0.75" top="1" bottom="1" header="0.5" footer="0.5"/>
  <pageSetup paperSize="9" scale="82" orientation="portrait" r:id="rId1"/>
  <headerFooter alignWithMargins="0">
    <oddHeader>&amp;COASys General reoffending Predictor</oddHeader>
    <oddFooter>&amp;CPlease refer to guidance on how to calculate and interpret OGP scores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6"/>
  <sheetViews>
    <sheetView zoomScale="90" zoomScaleNormal="90" workbookViewId="0">
      <selection activeCell="C18" sqref="C18"/>
    </sheetView>
  </sheetViews>
  <sheetFormatPr defaultRowHeight="12.75" x14ac:dyDescent="0.2"/>
  <cols>
    <col min="1" max="1" width="23" customWidth="1"/>
    <col min="2" max="2" width="57" customWidth="1"/>
    <col min="3" max="3" width="11.140625" customWidth="1"/>
    <col min="4" max="4" width="11.28515625" customWidth="1"/>
    <col min="5" max="5" width="13.5703125" style="3" customWidth="1"/>
    <col min="7" max="7" width="13.5703125" hidden="1" customWidth="1"/>
    <col min="8" max="26" width="9.140625" hidden="1" customWidth="1"/>
  </cols>
  <sheetData>
    <row r="1" spans="1:26" ht="18" x14ac:dyDescent="0.25">
      <c r="A1" s="6" t="s">
        <v>183</v>
      </c>
    </row>
    <row r="2" spans="1:26" ht="18" x14ac:dyDescent="0.25">
      <c r="A2" s="6"/>
    </row>
    <row r="4" spans="1:26" x14ac:dyDescent="0.2">
      <c r="A4" s="34" t="s">
        <v>151</v>
      </c>
      <c r="B4" s="32"/>
      <c r="C4" s="32"/>
      <c r="D4" s="32"/>
    </row>
    <row r="5" spans="1:26" x14ac:dyDescent="0.2">
      <c r="A5" s="2" t="s">
        <v>110</v>
      </c>
    </row>
    <row r="6" spans="1:26" x14ac:dyDescent="0.2">
      <c r="A6" s="2" t="s">
        <v>111</v>
      </c>
    </row>
    <row r="7" spans="1:26" x14ac:dyDescent="0.2">
      <c r="A7" t="s">
        <v>36</v>
      </c>
    </row>
    <row r="8" spans="1:26" x14ac:dyDescent="0.2">
      <c r="A8" t="s">
        <v>184</v>
      </c>
    </row>
    <row r="11" spans="1:26" ht="15" x14ac:dyDescent="0.25">
      <c r="A11" s="12" t="s">
        <v>0</v>
      </c>
      <c r="B11" s="12" t="s">
        <v>1</v>
      </c>
      <c r="C11" s="13" t="s">
        <v>5</v>
      </c>
      <c r="D11" s="13" t="s">
        <v>6</v>
      </c>
      <c r="E11" s="9" t="s">
        <v>4</v>
      </c>
      <c r="F11" s="1" t="s">
        <v>7</v>
      </c>
    </row>
    <row r="12" spans="1:26" ht="15" x14ac:dyDescent="0.25">
      <c r="A12" s="14"/>
      <c r="B12" s="14"/>
      <c r="C12" s="13" t="s">
        <v>2</v>
      </c>
      <c r="D12" s="13" t="s">
        <v>2</v>
      </c>
      <c r="E12" s="9" t="s">
        <v>3</v>
      </c>
      <c r="H12" t="s">
        <v>24</v>
      </c>
      <c r="I12" t="s">
        <v>23</v>
      </c>
    </row>
    <row r="13" spans="1:26" ht="14.25" x14ac:dyDescent="0.2">
      <c r="A13" s="14"/>
      <c r="B13" s="14"/>
      <c r="C13" s="14"/>
      <c r="D13" s="14"/>
      <c r="E13" s="10"/>
      <c r="G13" t="s">
        <v>20</v>
      </c>
      <c r="H13">
        <v>0</v>
      </c>
      <c r="I13">
        <v>1</v>
      </c>
      <c r="J13">
        <v>2</v>
      </c>
      <c r="K13">
        <v>3</v>
      </c>
      <c r="L13">
        <v>4</v>
      </c>
      <c r="M13">
        <v>5</v>
      </c>
      <c r="N13">
        <v>6</v>
      </c>
      <c r="O13">
        <v>7</v>
      </c>
      <c r="P13">
        <v>8</v>
      </c>
      <c r="Q13">
        <v>9</v>
      </c>
      <c r="R13">
        <v>10</v>
      </c>
      <c r="S13">
        <v>11</v>
      </c>
      <c r="T13">
        <v>12</v>
      </c>
      <c r="U13">
        <v>13</v>
      </c>
      <c r="V13">
        <v>14</v>
      </c>
      <c r="W13">
        <v>15</v>
      </c>
      <c r="X13">
        <v>16</v>
      </c>
      <c r="Y13">
        <v>17</v>
      </c>
      <c r="Z13">
        <v>18</v>
      </c>
    </row>
    <row r="14" spans="1:26" ht="14.25" x14ac:dyDescent="0.2">
      <c r="A14" s="15" t="s">
        <v>17</v>
      </c>
      <c r="B14" s="14"/>
      <c r="C14" s="14"/>
      <c r="D14" s="14"/>
      <c r="E14" s="10"/>
      <c r="G14" t="s">
        <v>21</v>
      </c>
      <c r="H14">
        <v>0</v>
      </c>
      <c r="I14">
        <v>4</v>
      </c>
      <c r="J14">
        <v>7</v>
      </c>
      <c r="K14">
        <v>9</v>
      </c>
      <c r="L14">
        <v>11</v>
      </c>
      <c r="M14">
        <v>12</v>
      </c>
      <c r="N14">
        <v>13</v>
      </c>
      <c r="O14">
        <v>14</v>
      </c>
      <c r="P14">
        <v>15</v>
      </c>
      <c r="Q14">
        <v>16</v>
      </c>
      <c r="R14">
        <v>17</v>
      </c>
      <c r="S14">
        <v>18</v>
      </c>
      <c r="T14">
        <v>19</v>
      </c>
      <c r="U14">
        <v>20</v>
      </c>
      <c r="V14">
        <v>21</v>
      </c>
      <c r="W14">
        <v>22</v>
      </c>
      <c r="X14">
        <v>23</v>
      </c>
      <c r="Y14">
        <v>24</v>
      </c>
      <c r="Z14">
        <v>25</v>
      </c>
    </row>
    <row r="15" spans="1:26" ht="14.25" x14ac:dyDescent="0.2">
      <c r="A15" s="14" t="s">
        <v>108</v>
      </c>
      <c r="B15" s="14" t="s">
        <v>25</v>
      </c>
      <c r="C15" s="27" t="str">
        <f>IF(OGRS3!B13=0,"No","Yes")</f>
        <v>Yes</v>
      </c>
      <c r="D15" s="14">
        <f>IF(OR(C15="No",C15="Yes"),IF(C15="No",0,5),"ERROR")</f>
        <v>5</v>
      </c>
      <c r="E15" s="10">
        <v>5</v>
      </c>
      <c r="G15" t="s">
        <v>22</v>
      </c>
      <c r="H15">
        <v>0</v>
      </c>
      <c r="I15">
        <v>3</v>
      </c>
      <c r="J15">
        <v>5</v>
      </c>
      <c r="K15">
        <v>11</v>
      </c>
      <c r="L15">
        <v>21</v>
      </c>
    </row>
    <row r="16" spans="1:26" ht="14.25" x14ac:dyDescent="0.2">
      <c r="A16" s="16" t="s">
        <v>19</v>
      </c>
      <c r="B16" s="14" t="s">
        <v>112</v>
      </c>
      <c r="C16" s="30">
        <v>2</v>
      </c>
      <c r="D16" s="14">
        <f>IF(AND(C16&gt;=0,C16=INT(C16)),HLOOKUP(C16,H13:Z14,2,TRUE),"ERROR")</f>
        <v>7</v>
      </c>
      <c r="E16" s="10">
        <v>25</v>
      </c>
      <c r="F16" t="str">
        <f>IF(C16&gt;(1+OGRS3!B13),"More violent sanctions than total sanctions entered for OGRS 3","")</f>
        <v/>
      </c>
      <c r="G16" t="s">
        <v>21</v>
      </c>
      <c r="H16">
        <v>0</v>
      </c>
      <c r="I16">
        <v>2</v>
      </c>
      <c r="J16">
        <v>3</v>
      </c>
      <c r="K16">
        <v>4</v>
      </c>
      <c r="L16">
        <v>5</v>
      </c>
    </row>
    <row r="17" spans="1:17" ht="14.25" x14ac:dyDescent="0.2">
      <c r="A17" s="16" t="s">
        <v>108</v>
      </c>
      <c r="B17" s="14" t="s">
        <v>113</v>
      </c>
      <c r="C17" s="14">
        <f>1+OGRS3!B13-C16</f>
        <v>1</v>
      </c>
      <c r="D17" s="14">
        <f>IF(AND(C17&gt;=0,C17=INT(C17)),HLOOKUP(C17,H15:L16,2,TRUE),"ERROR")</f>
        <v>0</v>
      </c>
      <c r="E17" s="10">
        <v>5</v>
      </c>
      <c r="F17" t="str">
        <f>IF(AND(C17&lt;=1000,C17&gt;=0,C17=INT(C17)),"","Please enter a whole number between 0 and 1000")</f>
        <v/>
      </c>
      <c r="G17" t="s">
        <v>26</v>
      </c>
      <c r="H17">
        <v>18</v>
      </c>
      <c r="I17">
        <v>20</v>
      </c>
      <c r="J17">
        <v>22</v>
      </c>
      <c r="K17">
        <v>24</v>
      </c>
      <c r="L17">
        <v>26</v>
      </c>
      <c r="M17">
        <v>31</v>
      </c>
      <c r="N17">
        <v>36</v>
      </c>
      <c r="O17">
        <v>41</v>
      </c>
      <c r="P17">
        <v>46</v>
      </c>
      <c r="Q17">
        <v>51</v>
      </c>
    </row>
    <row r="18" spans="1:17" ht="14.25" x14ac:dyDescent="0.2">
      <c r="A18" s="16" t="s">
        <v>109</v>
      </c>
      <c r="B18" s="14" t="s">
        <v>82</v>
      </c>
      <c r="C18" s="14">
        <v>18</v>
      </c>
      <c r="D18" s="14">
        <f>IF(AND(C18&gt;=18,C18=INT(C18)),HLOOKUP(C18,H17:Q18,2,TRUE),"ERROR")</f>
        <v>20</v>
      </c>
      <c r="E18" s="10">
        <v>20</v>
      </c>
      <c r="F18" t="str">
        <f>IF(ISERROR(D18),"OGRS 3 not completed","")</f>
        <v/>
      </c>
      <c r="G18" t="s">
        <v>21</v>
      </c>
      <c r="H18">
        <v>20</v>
      </c>
      <c r="I18">
        <v>17</v>
      </c>
      <c r="J18">
        <v>14</v>
      </c>
      <c r="K18">
        <v>12</v>
      </c>
      <c r="L18">
        <v>10</v>
      </c>
      <c r="M18">
        <v>8</v>
      </c>
      <c r="N18">
        <v>6</v>
      </c>
      <c r="O18">
        <v>4</v>
      </c>
      <c r="P18">
        <v>2</v>
      </c>
      <c r="Q18">
        <v>0</v>
      </c>
    </row>
    <row r="19" spans="1:17" ht="14.25" x14ac:dyDescent="0.2">
      <c r="A19" s="16" t="s">
        <v>109</v>
      </c>
      <c r="B19" s="14" t="s">
        <v>27</v>
      </c>
      <c r="C19" s="27" t="str">
        <f>OGRS3!B10</f>
        <v>Male</v>
      </c>
      <c r="D19" s="14">
        <f>IF(OR(C19="Male",C19="Female"),IF(C19="Male",5,0),"ERROR")</f>
        <v>5</v>
      </c>
      <c r="E19" s="10">
        <v>5</v>
      </c>
      <c r="H19" t="s">
        <v>28</v>
      </c>
      <c r="I19" t="s">
        <v>29</v>
      </c>
    </row>
    <row r="20" spans="1:17" ht="14.25" x14ac:dyDescent="0.2">
      <c r="A20" s="16"/>
      <c r="B20" s="14"/>
      <c r="C20" s="14"/>
      <c r="D20" s="14"/>
      <c r="E20" s="10"/>
    </row>
    <row r="21" spans="1:17" ht="14.25" x14ac:dyDescent="0.2">
      <c r="A21" s="17" t="s">
        <v>18</v>
      </c>
      <c r="B21" s="14"/>
      <c r="C21" s="14"/>
      <c r="D21" s="14"/>
      <c r="E21" s="10"/>
    </row>
    <row r="22" spans="1:17" ht="14.25" x14ac:dyDescent="0.2">
      <c r="A22" s="16">
        <v>2.6</v>
      </c>
      <c r="B22" s="14" t="s">
        <v>30</v>
      </c>
      <c r="C22" s="31" t="s">
        <v>24</v>
      </c>
      <c r="D22" s="14">
        <f>IF(OR(C22="No",C22="Yes"),IF(C22="No",4,0),"ERROR")</f>
        <v>0</v>
      </c>
      <c r="E22" s="10">
        <v>4</v>
      </c>
    </row>
    <row r="23" spans="1:17" ht="15" x14ac:dyDescent="0.25">
      <c r="A23" s="16" t="s">
        <v>40</v>
      </c>
      <c r="B23" s="14" t="s">
        <v>9</v>
      </c>
      <c r="C23" s="14">
        <f>OGP!C16</f>
        <v>8</v>
      </c>
      <c r="D23" s="14">
        <f>IF(AND(C23&lt;=8,C23&gt;=0,C23=INT(C23)),ROUND(C23/2,0),"ERROR")</f>
        <v>4</v>
      </c>
      <c r="E23" s="10">
        <v>4</v>
      </c>
      <c r="F23" t="str">
        <f>IF(AND(C23&lt;=8,C23&gt;=0,C23=INT(C23)),"","Please enter a whole number between 0 and 8")</f>
        <v/>
      </c>
    </row>
    <row r="24" spans="1:17" ht="15" x14ac:dyDescent="0.25">
      <c r="A24" s="16" t="s">
        <v>41</v>
      </c>
      <c r="B24" s="14" t="s">
        <v>11</v>
      </c>
      <c r="C24" s="14">
        <f>OGP!C17</f>
        <v>5</v>
      </c>
      <c r="D24" s="14">
        <f>IF(AND(C24&lt;=8,C24&gt;=0,C24=INT(C24)),ROUND(C24*3/4,0),"ERROR")</f>
        <v>4</v>
      </c>
      <c r="E24" s="10">
        <v>6</v>
      </c>
      <c r="F24" t="str">
        <f>IF(AND(C24&lt;=8,C24&gt;=0,C24=INT(C24)),"","Please enter a whole number between 0 and 8")</f>
        <v/>
      </c>
    </row>
    <row r="25" spans="1:17" ht="14.25" x14ac:dyDescent="0.2">
      <c r="A25" s="16" t="s">
        <v>162</v>
      </c>
      <c r="B25" s="14" t="s">
        <v>31</v>
      </c>
      <c r="C25" s="30">
        <v>4</v>
      </c>
      <c r="D25" s="14">
        <f>IF(AND(C25&lt;=8,C25&gt;=0,C25=INT(C25)),ROUND(C25*2.5,0),"ERROR")</f>
        <v>10</v>
      </c>
      <c r="E25" s="10">
        <v>10</v>
      </c>
      <c r="F25" t="str">
        <f>IF(AND(C25&lt;=4,C25&gt;=0,C25=INT(C25)),"","Please enter a whole number between 0 and 4")</f>
        <v/>
      </c>
    </row>
    <row r="26" spans="1:17" ht="14.25" x14ac:dyDescent="0.2">
      <c r="A26" s="16">
        <v>10.7</v>
      </c>
      <c r="B26" s="14" t="s">
        <v>161</v>
      </c>
      <c r="C26" s="31" t="s">
        <v>24</v>
      </c>
      <c r="D26" s="14">
        <f>IF(OR(C26="No",C26="Yes"),IF(C26="No",0,4),"ERROR")</f>
        <v>4</v>
      </c>
      <c r="E26" s="10">
        <v>4</v>
      </c>
    </row>
    <row r="27" spans="1:17" ht="14.25" x14ac:dyDescent="0.2">
      <c r="A27" s="16">
        <v>11.4</v>
      </c>
      <c r="B27" s="14" t="s">
        <v>32</v>
      </c>
      <c r="C27" s="30">
        <v>2</v>
      </c>
      <c r="D27" s="14">
        <f>IF(AND(C27&lt;=2,C27&gt;=0,C27=INT(C27)),C27*3,"ERROR")</f>
        <v>6</v>
      </c>
      <c r="E27" s="10">
        <v>6</v>
      </c>
      <c r="F27" t="str">
        <f>IF(AND(C27&lt;=2,C27&gt;=0,C27=INT(C27)),"","Please enter a whole number between 0 and 2")</f>
        <v/>
      </c>
    </row>
    <row r="28" spans="1:17" ht="15" x14ac:dyDescent="0.25">
      <c r="A28" s="16" t="s">
        <v>165</v>
      </c>
      <c r="B28" s="14" t="s">
        <v>16</v>
      </c>
      <c r="C28" s="14">
        <f>OGP!C21</f>
        <v>8</v>
      </c>
      <c r="D28" s="14">
        <f>IF(AND(C28&lt;=8,C28&gt;=0,C28=INT(C28)),ROUND(C28*3/4,0),"ERROR")</f>
        <v>6</v>
      </c>
      <c r="E28" s="10">
        <v>6</v>
      </c>
      <c r="F28" t="str">
        <f>IF(AND(C28&lt;=12,C28&gt;=0,C28=INT(C28)),"","Please enter a whole number between 0 and 12")</f>
        <v/>
      </c>
    </row>
    <row r="29" spans="1:17" s="2" customFormat="1" x14ac:dyDescent="0.2">
      <c r="A29" s="28" t="s">
        <v>126</v>
      </c>
      <c r="E29" s="3"/>
    </row>
    <row r="30" spans="1:17" s="2" customFormat="1" x14ac:dyDescent="0.2">
      <c r="A30" s="28" t="s">
        <v>42</v>
      </c>
      <c r="E30" s="3"/>
    </row>
    <row r="31" spans="1:17" ht="14.25" x14ac:dyDescent="0.2">
      <c r="A31" s="16"/>
      <c r="B31" s="14"/>
      <c r="C31" s="14"/>
      <c r="D31" s="14"/>
      <c r="E31" s="10"/>
    </row>
    <row r="32" spans="1:17" s="4" customFormat="1" ht="14.25" x14ac:dyDescent="0.2">
      <c r="A32" s="17"/>
      <c r="B32" s="15" t="s">
        <v>34</v>
      </c>
      <c r="C32" s="15"/>
      <c r="D32" s="15">
        <f>SUM(D15:D19)</f>
        <v>37</v>
      </c>
      <c r="E32" s="11">
        <f>SUM(E15:E19)</f>
        <v>60</v>
      </c>
    </row>
    <row r="33" spans="1:5" s="4" customFormat="1" ht="14.25" x14ac:dyDescent="0.2">
      <c r="A33" s="17"/>
      <c r="B33" s="15" t="s">
        <v>33</v>
      </c>
      <c r="C33" s="15"/>
      <c r="D33" s="15">
        <f>SUM(D22:D28)</f>
        <v>34</v>
      </c>
      <c r="E33" s="11">
        <f>SUM(E22:E28)</f>
        <v>40</v>
      </c>
    </row>
    <row r="34" spans="1:5" s="4" customFormat="1" ht="14.25" x14ac:dyDescent="0.2">
      <c r="A34" s="17"/>
      <c r="B34" s="15"/>
      <c r="C34" s="15"/>
      <c r="D34" s="15"/>
      <c r="E34" s="11"/>
    </row>
    <row r="35" spans="1:5" s="1" customFormat="1" ht="15.75" x14ac:dyDescent="0.25">
      <c r="B35" s="7" t="s">
        <v>35</v>
      </c>
      <c r="C35" s="7"/>
      <c r="D35" s="7">
        <f>IF(OR(D15="ERROR",D16="ERROR",D17="ERROR",D18="ERROR",D19="ERROR",D22="ERROR",D23="ERROR",D24="ERROR",D25="ERROR",D26="ERROR",D27="ERROR",D28="ERROR"),"ERROR",SUM(D15:D28))</f>
        <v>71</v>
      </c>
      <c r="E35" s="11">
        <f>SUM(E15:E28)</f>
        <v>100</v>
      </c>
    </row>
    <row r="36" spans="1:5" s="1" customFormat="1" ht="15.75" hidden="1" x14ac:dyDescent="0.25">
      <c r="B36" s="7"/>
      <c r="C36" s="7"/>
      <c r="D36" s="7"/>
      <c r="E36" s="11"/>
    </row>
    <row r="37" spans="1:5" hidden="1" x14ac:dyDescent="0.2"/>
    <row r="39" spans="1:5" ht="15.75" x14ac:dyDescent="0.25">
      <c r="A39" s="7" t="s">
        <v>154</v>
      </c>
      <c r="E39" s="8">
        <f>ROUND(EXP((0.0722*D35)-4.5215)/(1+EXP((0.0722*D35)-4.5215)),2)</f>
        <v>0.65</v>
      </c>
    </row>
    <row r="40" spans="1:5" ht="15.75" x14ac:dyDescent="0.25">
      <c r="B40" s="7"/>
      <c r="C40" s="7"/>
    </row>
    <row r="41" spans="1:5" ht="15.75" x14ac:dyDescent="0.25">
      <c r="A41" s="7" t="s">
        <v>155</v>
      </c>
      <c r="E41" s="8">
        <f>ROUND(EXP((0.0722*D35)-3.8773)/(1+EXP((0.0722*D35)-3.8773)),2)</f>
        <v>0.78</v>
      </c>
    </row>
    <row r="44" spans="1:5" x14ac:dyDescent="0.2">
      <c r="A44" s="1" t="s">
        <v>147</v>
      </c>
    </row>
    <row r="45" spans="1:5" x14ac:dyDescent="0.2">
      <c r="A45" t="s">
        <v>157</v>
      </c>
    </row>
    <row r="46" spans="1:5" x14ac:dyDescent="0.2">
      <c r="A46" t="s">
        <v>139</v>
      </c>
    </row>
    <row r="47" spans="1:5" x14ac:dyDescent="0.2">
      <c r="A47" t="s">
        <v>135</v>
      </c>
    </row>
    <row r="48" spans="1:5" x14ac:dyDescent="0.2">
      <c r="A48" t="s">
        <v>156</v>
      </c>
    </row>
    <row r="49" spans="1:1" x14ac:dyDescent="0.2">
      <c r="A49" s="4" t="s">
        <v>146</v>
      </c>
    </row>
    <row r="50" spans="1:1" x14ac:dyDescent="0.2">
      <c r="A50" t="s">
        <v>138</v>
      </c>
    </row>
    <row r="51" spans="1:1" x14ac:dyDescent="0.2">
      <c r="A51" t="s">
        <v>136</v>
      </c>
    </row>
    <row r="52" spans="1:1" x14ac:dyDescent="0.2">
      <c r="A52" t="s">
        <v>137</v>
      </c>
    </row>
    <row r="53" spans="1:1" x14ac:dyDescent="0.2">
      <c r="A53" s="4" t="s">
        <v>158</v>
      </c>
    </row>
    <row r="54" spans="1:1" x14ac:dyDescent="0.2">
      <c r="A54" s="4" t="s">
        <v>148</v>
      </c>
    </row>
    <row r="55" spans="1:1" x14ac:dyDescent="0.2">
      <c r="A55" t="s">
        <v>159</v>
      </c>
    </row>
    <row r="56" spans="1:1" x14ac:dyDescent="0.2">
      <c r="A56" t="s">
        <v>160</v>
      </c>
    </row>
  </sheetData>
  <phoneticPr fontId="4" type="noConversion"/>
  <dataValidations count="1">
    <dataValidation type="list" allowBlank="1" showInputMessage="1" showErrorMessage="1" errorTitle="Invalid data entered" error="Please enter either 'No' or 'Yes'" sqref="C22 C26" xr:uid="{00000000-0002-0000-0300-000000000000}">
      <formula1>$H$12:$I$12</formula1>
    </dataValidation>
  </dataValidations>
  <pageMargins left="0.75" right="0.75" top="1" bottom="1" header="0.5" footer="0.5"/>
  <pageSetup paperSize="9" scale="80" orientation="portrait" r:id="rId1"/>
  <headerFooter alignWithMargins="0">
    <oddHeader>&amp;COASys Violence Predictor</oddHeader>
    <oddFooter>&amp;CPlease refer to guidance on how to calculate and interpret OVP scores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F34"/>
  <sheetViews>
    <sheetView workbookViewId="0">
      <selection activeCell="C18" sqref="C18"/>
    </sheetView>
  </sheetViews>
  <sheetFormatPr defaultRowHeight="12.75" x14ac:dyDescent="0.2"/>
  <sheetData>
    <row r="1" spans="3:6" x14ac:dyDescent="0.2">
      <c r="C1" t="s">
        <v>43</v>
      </c>
      <c r="D1" t="s">
        <v>44</v>
      </c>
      <c r="E1" t="s">
        <v>45</v>
      </c>
      <c r="F1" t="s">
        <v>46</v>
      </c>
    </row>
    <row r="2" spans="3:6" x14ac:dyDescent="0.2">
      <c r="C2">
        <v>10</v>
      </c>
      <c r="D2" t="s">
        <v>140</v>
      </c>
      <c r="E2">
        <v>0</v>
      </c>
      <c r="F2">
        <v>0.78500000000000003</v>
      </c>
    </row>
    <row r="3" spans="3:6" x14ac:dyDescent="0.2">
      <c r="C3">
        <v>12</v>
      </c>
      <c r="D3" t="s">
        <v>141</v>
      </c>
      <c r="E3">
        <v>8.3919999999999995E-2</v>
      </c>
      <c r="F3">
        <v>0.61385000000000001</v>
      </c>
    </row>
    <row r="4" spans="3:6" x14ac:dyDescent="0.2">
      <c r="C4">
        <v>14</v>
      </c>
      <c r="D4" t="s">
        <v>142</v>
      </c>
      <c r="E4">
        <v>7.578E-2</v>
      </c>
      <c r="F4">
        <v>0.66952</v>
      </c>
    </row>
    <row r="5" spans="3:6" x14ac:dyDescent="0.2">
      <c r="C5">
        <v>16</v>
      </c>
      <c r="D5" s="19" t="s">
        <v>47</v>
      </c>
      <c r="E5">
        <v>-6.1600000000000002E-2</v>
      </c>
      <c r="F5">
        <v>-0.95920000000000005</v>
      </c>
    </row>
    <row r="6" spans="3:6" x14ac:dyDescent="0.2">
      <c r="C6">
        <v>18</v>
      </c>
      <c r="D6" s="19" t="s">
        <v>48</v>
      </c>
      <c r="E6">
        <v>-0.62509999999999999</v>
      </c>
      <c r="F6">
        <v>-0.89749999999999996</v>
      </c>
    </row>
    <row r="7" spans="3:6" x14ac:dyDescent="0.2">
      <c r="C7">
        <v>21</v>
      </c>
      <c r="D7" s="19" t="s">
        <v>49</v>
      </c>
      <c r="E7">
        <v>-1.0515000000000001</v>
      </c>
      <c r="F7">
        <v>-1.0285</v>
      </c>
    </row>
    <row r="8" spans="3:6" x14ac:dyDescent="0.2">
      <c r="C8">
        <v>25</v>
      </c>
      <c r="D8" s="19" t="s">
        <v>50</v>
      </c>
      <c r="E8">
        <v>-1.1667000000000001</v>
      </c>
      <c r="F8">
        <v>-1.0528</v>
      </c>
    </row>
    <row r="9" spans="3:6" x14ac:dyDescent="0.2">
      <c r="C9">
        <v>30</v>
      </c>
      <c r="D9" s="19" t="s">
        <v>51</v>
      </c>
      <c r="E9">
        <v>-1.3260000000000001</v>
      </c>
      <c r="F9">
        <v>-1.1291</v>
      </c>
    </row>
    <row r="10" spans="3:6" x14ac:dyDescent="0.2">
      <c r="C10">
        <v>35</v>
      </c>
      <c r="D10" s="19" t="s">
        <v>52</v>
      </c>
      <c r="E10">
        <v>-1.3680000000000001</v>
      </c>
      <c r="F10">
        <v>-1.4218999999999999</v>
      </c>
    </row>
    <row r="11" spans="3:6" x14ac:dyDescent="0.2">
      <c r="C11">
        <v>40</v>
      </c>
      <c r="D11" s="19" t="s">
        <v>53</v>
      </c>
      <c r="E11">
        <v>-1.4997</v>
      </c>
      <c r="F11">
        <v>-1.5246999999999999</v>
      </c>
    </row>
    <row r="12" spans="3:6" x14ac:dyDescent="0.2">
      <c r="C12">
        <v>50</v>
      </c>
      <c r="D12" t="s">
        <v>54</v>
      </c>
      <c r="E12">
        <v>-2.0253000000000001</v>
      </c>
      <c r="F12">
        <v>-2.4498000000000002</v>
      </c>
    </row>
    <row r="14" spans="3:6" x14ac:dyDescent="0.2">
      <c r="C14" t="s">
        <v>55</v>
      </c>
      <c r="D14" t="s">
        <v>56</v>
      </c>
    </row>
    <row r="15" spans="3:6" x14ac:dyDescent="0.2">
      <c r="C15" t="s">
        <v>57</v>
      </c>
      <c r="D15">
        <v>0</v>
      </c>
    </row>
    <row r="16" spans="3:6" x14ac:dyDescent="0.2">
      <c r="C16" t="s">
        <v>58</v>
      </c>
      <c r="D16">
        <v>-0.63480000000000003</v>
      </c>
    </row>
    <row r="17" spans="3:4" x14ac:dyDescent="0.2">
      <c r="C17" t="s">
        <v>59</v>
      </c>
      <c r="D17">
        <v>0.18190000000000001</v>
      </c>
    </row>
    <row r="18" spans="3:4" x14ac:dyDescent="0.2">
      <c r="C18" t="s">
        <v>60</v>
      </c>
      <c r="D18">
        <v>3.2800000000000003E-2</v>
      </c>
    </row>
    <row r="19" spans="3:4" x14ac:dyDescent="0.2">
      <c r="C19" t="s">
        <v>61</v>
      </c>
      <c r="D19">
        <v>-0.65339999999999998</v>
      </c>
    </row>
    <row r="20" spans="3:4" x14ac:dyDescent="0.2">
      <c r="C20" t="s">
        <v>62</v>
      </c>
      <c r="D20">
        <v>0.76060000000000005</v>
      </c>
    </row>
    <row r="21" spans="3:4" x14ac:dyDescent="0.2">
      <c r="C21" t="s">
        <v>63</v>
      </c>
      <c r="D21">
        <v>-0.1239</v>
      </c>
    </row>
    <row r="22" spans="3:4" x14ac:dyDescent="0.2">
      <c r="C22" t="s">
        <v>64</v>
      </c>
      <c r="D22">
        <v>0.24060000000000001</v>
      </c>
    </row>
    <row r="23" spans="3:4" x14ac:dyDescent="0.2">
      <c r="C23" t="s">
        <v>65</v>
      </c>
      <c r="D23">
        <v>0.66120000000000001</v>
      </c>
    </row>
    <row r="24" spans="3:4" x14ac:dyDescent="0.2">
      <c r="C24" t="s">
        <v>66</v>
      </c>
      <c r="D24">
        <v>0.35189999999999999</v>
      </c>
    </row>
    <row r="25" spans="3:4" x14ac:dyDescent="0.2">
      <c r="C25" t="s">
        <v>67</v>
      </c>
      <c r="D25">
        <v>0.15989999999999999</v>
      </c>
    </row>
    <row r="26" spans="3:4" x14ac:dyDescent="0.2">
      <c r="C26" t="s">
        <v>68</v>
      </c>
      <c r="D26">
        <v>0.73340000000000005</v>
      </c>
    </row>
    <row r="27" spans="3:4" x14ac:dyDescent="0.2">
      <c r="C27" t="s">
        <v>69</v>
      </c>
      <c r="D27">
        <v>0.38009999999999999</v>
      </c>
    </row>
    <row r="28" spans="3:4" x14ac:dyDescent="0.2">
      <c r="C28" t="s">
        <v>70</v>
      </c>
      <c r="D28">
        <v>0.42720000000000002</v>
      </c>
    </row>
    <row r="29" spans="3:4" x14ac:dyDescent="0.2">
      <c r="C29" t="s">
        <v>72</v>
      </c>
      <c r="D29">
        <v>0.26219999999999999</v>
      </c>
    </row>
    <row r="30" spans="3:4" x14ac:dyDescent="0.2">
      <c r="C30" t="s">
        <v>127</v>
      </c>
      <c r="D30">
        <v>-0.12139999999999999</v>
      </c>
    </row>
    <row r="31" spans="3:4" x14ac:dyDescent="0.2">
      <c r="C31" t="s">
        <v>73</v>
      </c>
      <c r="D31">
        <v>0.20499999999999999</v>
      </c>
    </row>
    <row r="32" spans="3:4" x14ac:dyDescent="0.2">
      <c r="C32" t="s">
        <v>74</v>
      </c>
      <c r="D32">
        <v>-0.79559999999999997</v>
      </c>
    </row>
    <row r="33" spans="3:4" x14ac:dyDescent="0.2">
      <c r="C33" t="s">
        <v>75</v>
      </c>
      <c r="D33">
        <v>7.7200000000000005E-2</v>
      </c>
    </row>
    <row r="34" spans="3:4" x14ac:dyDescent="0.2">
      <c r="C34" t="s">
        <v>76</v>
      </c>
      <c r="D34">
        <v>-6.0699999999999997E-2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activeCell="A2" sqref="A2"/>
    </sheetView>
  </sheetViews>
  <sheetFormatPr defaultRowHeight="12.75" x14ac:dyDescent="0.2"/>
  <cols>
    <col min="1" max="1" width="56" bestFit="1" customWidth="1"/>
    <col min="2" max="2" width="37.140625" bestFit="1" customWidth="1"/>
    <col min="3" max="3" width="12.5703125" bestFit="1" customWidth="1"/>
    <col min="4" max="4" width="18.28515625" bestFit="1" customWidth="1"/>
    <col min="5" max="5" width="22.85546875" bestFit="1" customWidth="1"/>
  </cols>
  <sheetData>
    <row r="1" spans="1:5" ht="15.75" x14ac:dyDescent="0.25">
      <c r="A1" s="7" t="s">
        <v>186</v>
      </c>
    </row>
    <row r="4" spans="1:5" s="38" customFormat="1" ht="15.75" x14ac:dyDescent="0.25">
      <c r="A4" s="12" t="s">
        <v>0</v>
      </c>
      <c r="B4" s="12" t="s">
        <v>1</v>
      </c>
      <c r="C4" s="13" t="s">
        <v>5</v>
      </c>
      <c r="D4" s="13" t="s">
        <v>5</v>
      </c>
      <c r="E4" s="9" t="s">
        <v>173</v>
      </c>
    </row>
    <row r="5" spans="1:5" s="38" customFormat="1" ht="15.75" x14ac:dyDescent="0.25">
      <c r="A5" s="12"/>
      <c r="B5" s="12"/>
      <c r="C5" s="13" t="s">
        <v>174</v>
      </c>
      <c r="D5" s="13" t="s">
        <v>3</v>
      </c>
      <c r="E5" s="9" t="s">
        <v>3</v>
      </c>
    </row>
    <row r="6" spans="1:5" x14ac:dyDescent="0.2">
      <c r="E6" s="10"/>
    </row>
    <row r="7" spans="1:5" s="39" customFormat="1" ht="14.25" x14ac:dyDescent="0.2">
      <c r="A7" s="39" t="s">
        <v>166</v>
      </c>
      <c r="B7" s="39" t="s">
        <v>176</v>
      </c>
      <c r="C7" s="40">
        <v>56.23072063443356</v>
      </c>
      <c r="D7" s="39">
        <v>34</v>
      </c>
      <c r="E7" s="10">
        <v>60</v>
      </c>
    </row>
    <row r="8" spans="1:5" s="39" customFormat="1" ht="14.25" x14ac:dyDescent="0.2">
      <c r="A8" s="39" t="s">
        <v>8</v>
      </c>
      <c r="B8" s="39" t="s">
        <v>9</v>
      </c>
      <c r="C8" s="39">
        <v>0</v>
      </c>
      <c r="D8" s="39">
        <v>0</v>
      </c>
      <c r="E8" s="10">
        <v>5</v>
      </c>
    </row>
    <row r="9" spans="1:5" s="39" customFormat="1" ht="14.25" x14ac:dyDescent="0.2">
      <c r="A9" s="39" t="s">
        <v>10</v>
      </c>
      <c r="B9" s="39" t="s">
        <v>11</v>
      </c>
      <c r="C9" s="39">
        <v>5</v>
      </c>
      <c r="D9" s="39">
        <v>3</v>
      </c>
      <c r="E9" s="10">
        <v>5</v>
      </c>
    </row>
    <row r="10" spans="1:5" s="39" customFormat="1" ht="14.25" x14ac:dyDescent="0.2">
      <c r="A10" s="41">
        <v>7.2</v>
      </c>
      <c r="B10" s="39" t="s">
        <v>12</v>
      </c>
      <c r="C10" s="39">
        <v>2</v>
      </c>
      <c r="D10" s="39">
        <v>5</v>
      </c>
      <c r="E10" s="10">
        <v>5</v>
      </c>
    </row>
    <row r="11" spans="1:5" s="39" customFormat="1" ht="14.25" x14ac:dyDescent="0.2">
      <c r="A11" s="39" t="s">
        <v>13</v>
      </c>
      <c r="B11" s="39" t="s">
        <v>171</v>
      </c>
      <c r="C11" s="39">
        <v>0</v>
      </c>
      <c r="D11" s="39">
        <v>0</v>
      </c>
      <c r="E11" s="10">
        <v>15</v>
      </c>
    </row>
    <row r="12" spans="1:5" s="39" customFormat="1" ht="14.25" x14ac:dyDescent="0.2">
      <c r="A12" s="39" t="s">
        <v>163</v>
      </c>
      <c r="B12" s="39" t="s">
        <v>172</v>
      </c>
      <c r="C12" s="39">
        <v>2</v>
      </c>
      <c r="D12" s="39">
        <v>1</v>
      </c>
      <c r="E12" s="10">
        <v>5</v>
      </c>
    </row>
    <row r="13" spans="1:5" s="39" customFormat="1" ht="14.25" x14ac:dyDescent="0.2">
      <c r="A13" s="39" t="s">
        <v>164</v>
      </c>
      <c r="B13" s="39" t="s">
        <v>16</v>
      </c>
      <c r="C13" s="39">
        <v>5</v>
      </c>
      <c r="D13" s="39">
        <v>3</v>
      </c>
      <c r="E13" s="10">
        <v>5</v>
      </c>
    </row>
    <row r="14" spans="1:5" x14ac:dyDescent="0.2">
      <c r="E14" s="10"/>
    </row>
    <row r="15" spans="1:5" s="38" customFormat="1" ht="15.75" x14ac:dyDescent="0.25">
      <c r="A15" s="7" t="s">
        <v>39</v>
      </c>
      <c r="D15" s="7">
        <v>46</v>
      </c>
      <c r="E15" s="10">
        <v>100</v>
      </c>
    </row>
    <row r="16" spans="1:5" s="38" customFormat="1" ht="15" x14ac:dyDescent="0.2"/>
    <row r="17" spans="1:4" s="38" customFormat="1" ht="15.75" x14ac:dyDescent="0.25">
      <c r="A17" s="7" t="s">
        <v>167</v>
      </c>
      <c r="B17" s="7"/>
      <c r="C17" s="7"/>
      <c r="D17" s="8">
        <v>0.3</v>
      </c>
    </row>
    <row r="18" spans="1:4" s="38" customFormat="1" ht="15.75" x14ac:dyDescent="0.25">
      <c r="A18" s="7"/>
      <c r="B18" s="7"/>
      <c r="C18" s="7"/>
      <c r="D18" s="8"/>
    </row>
    <row r="19" spans="1:4" s="38" customFormat="1" ht="15.75" x14ac:dyDescent="0.25">
      <c r="A19" s="7" t="s">
        <v>168</v>
      </c>
      <c r="B19" s="7"/>
      <c r="C19" s="7"/>
      <c r="D19" s="8">
        <v>0.44</v>
      </c>
    </row>
    <row r="20" spans="1:4" s="38" customFormat="1" ht="15.75" x14ac:dyDescent="0.25">
      <c r="A20" s="7"/>
      <c r="B20" s="7"/>
      <c r="C20" s="7"/>
      <c r="D20" s="7"/>
    </row>
    <row r="21" spans="1:4" s="38" customFormat="1" ht="15.75" x14ac:dyDescent="0.25">
      <c r="A21" s="7" t="s">
        <v>169</v>
      </c>
      <c r="B21" s="7"/>
      <c r="C21" s="7"/>
      <c r="D21" s="37" t="s">
        <v>170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"/>
    </sheetView>
  </sheetViews>
  <sheetFormatPr defaultRowHeight="12.75" x14ac:dyDescent="0.2"/>
  <cols>
    <col min="1" max="1" width="54.42578125" customWidth="1"/>
    <col min="2" max="2" width="49.5703125" bestFit="1" customWidth="1"/>
    <col min="3" max="3" width="11.85546875" bestFit="1" customWidth="1"/>
    <col min="4" max="4" width="16.7109375" bestFit="1" customWidth="1"/>
    <col min="5" max="5" width="17" bestFit="1" customWidth="1"/>
  </cols>
  <sheetData>
    <row r="1" spans="1:5" ht="15.75" x14ac:dyDescent="0.25">
      <c r="A1" s="7" t="s">
        <v>185</v>
      </c>
    </row>
    <row r="4" spans="1:5" ht="15" x14ac:dyDescent="0.25">
      <c r="A4" s="12" t="s">
        <v>0</v>
      </c>
      <c r="B4" s="12" t="s">
        <v>1</v>
      </c>
      <c r="C4" s="13" t="s">
        <v>5</v>
      </c>
      <c r="D4" s="13" t="s">
        <v>5</v>
      </c>
      <c r="E4" s="9" t="s">
        <v>173</v>
      </c>
    </row>
    <row r="5" spans="1:5" ht="15" x14ac:dyDescent="0.25">
      <c r="A5" s="14"/>
      <c r="B5" s="14"/>
      <c r="C5" s="13" t="s">
        <v>174</v>
      </c>
      <c r="D5" s="13" t="s">
        <v>3</v>
      </c>
      <c r="E5" s="9" t="s">
        <v>3</v>
      </c>
    </row>
    <row r="6" spans="1:5" ht="14.25" x14ac:dyDescent="0.2">
      <c r="A6" s="14"/>
      <c r="B6" s="14"/>
      <c r="C6" s="14"/>
      <c r="D6" s="14"/>
      <c r="E6" s="10"/>
    </row>
    <row r="7" spans="1:5" ht="14.25" x14ac:dyDescent="0.2">
      <c r="A7" s="15" t="s">
        <v>17</v>
      </c>
      <c r="B7" s="14"/>
      <c r="C7" s="14"/>
      <c r="D7" s="14"/>
      <c r="E7" s="10"/>
    </row>
    <row r="8" spans="1:5" ht="14.25" x14ac:dyDescent="0.2">
      <c r="A8" s="14" t="s">
        <v>166</v>
      </c>
      <c r="B8" s="14" t="s">
        <v>25</v>
      </c>
      <c r="C8" s="27" t="s">
        <v>24</v>
      </c>
      <c r="D8" s="14">
        <v>5</v>
      </c>
      <c r="E8" s="10">
        <v>5</v>
      </c>
    </row>
    <row r="9" spans="1:5" ht="14.25" x14ac:dyDescent="0.2">
      <c r="A9" s="14" t="s">
        <v>166</v>
      </c>
      <c r="B9" s="14" t="s">
        <v>179</v>
      </c>
      <c r="C9" s="42">
        <v>2</v>
      </c>
      <c r="D9" s="14">
        <v>7</v>
      </c>
      <c r="E9" s="10">
        <v>25</v>
      </c>
    </row>
    <row r="10" spans="1:5" ht="14.25" x14ac:dyDescent="0.2">
      <c r="A10" s="14" t="s">
        <v>166</v>
      </c>
      <c r="B10" s="14" t="s">
        <v>113</v>
      </c>
      <c r="C10" s="14">
        <v>7</v>
      </c>
      <c r="D10" s="14">
        <v>3</v>
      </c>
      <c r="E10" s="10">
        <v>5</v>
      </c>
    </row>
    <row r="11" spans="1:5" ht="14.25" x14ac:dyDescent="0.2">
      <c r="A11" s="16" t="s">
        <v>177</v>
      </c>
      <c r="B11" s="14" t="s">
        <v>82</v>
      </c>
      <c r="C11" s="14">
        <v>35</v>
      </c>
      <c r="D11" s="14">
        <v>8</v>
      </c>
      <c r="E11" s="10">
        <v>20</v>
      </c>
    </row>
    <row r="12" spans="1:5" ht="14.25" x14ac:dyDescent="0.2">
      <c r="A12" s="16" t="s">
        <v>177</v>
      </c>
      <c r="B12" s="14" t="s">
        <v>27</v>
      </c>
      <c r="C12" s="27" t="s">
        <v>28</v>
      </c>
      <c r="D12" s="14">
        <v>5</v>
      </c>
      <c r="E12" s="10">
        <v>5</v>
      </c>
    </row>
    <row r="13" spans="1:5" ht="14.25" x14ac:dyDescent="0.2">
      <c r="A13" s="16"/>
      <c r="B13" s="14"/>
      <c r="C13" s="14"/>
      <c r="D13" s="14"/>
      <c r="E13" s="10"/>
    </row>
    <row r="14" spans="1:5" ht="14.25" x14ac:dyDescent="0.2">
      <c r="A14" s="17" t="s">
        <v>18</v>
      </c>
      <c r="B14" s="14"/>
      <c r="C14" s="14"/>
      <c r="D14" s="14"/>
      <c r="E14" s="10"/>
    </row>
    <row r="15" spans="1:5" ht="14.25" x14ac:dyDescent="0.2">
      <c r="A15" s="16">
        <v>2.6</v>
      </c>
      <c r="B15" s="14" t="s">
        <v>30</v>
      </c>
      <c r="C15" s="43" t="s">
        <v>24</v>
      </c>
      <c r="D15" s="14">
        <v>0</v>
      </c>
      <c r="E15" s="10">
        <v>4</v>
      </c>
    </row>
    <row r="16" spans="1:5" ht="14.25" x14ac:dyDescent="0.2">
      <c r="A16" s="16" t="s">
        <v>8</v>
      </c>
      <c r="B16" s="14" t="s">
        <v>9</v>
      </c>
      <c r="C16" s="14">
        <v>0</v>
      </c>
      <c r="D16" s="14">
        <v>0</v>
      </c>
      <c r="E16" s="10">
        <v>4</v>
      </c>
    </row>
    <row r="17" spans="1:5" ht="14.25" x14ac:dyDescent="0.2">
      <c r="A17" s="16" t="s">
        <v>10</v>
      </c>
      <c r="B17" s="14" t="s">
        <v>11</v>
      </c>
      <c r="C17" s="14">
        <v>5</v>
      </c>
      <c r="D17" s="14">
        <v>4</v>
      </c>
      <c r="E17" s="10">
        <v>6</v>
      </c>
    </row>
    <row r="18" spans="1:5" ht="14.25" x14ac:dyDescent="0.2">
      <c r="A18" s="16" t="s">
        <v>162</v>
      </c>
      <c r="B18" s="14" t="s">
        <v>31</v>
      </c>
      <c r="C18" s="42">
        <v>4</v>
      </c>
      <c r="D18" s="14">
        <v>10</v>
      </c>
      <c r="E18" s="10">
        <v>10</v>
      </c>
    </row>
    <row r="19" spans="1:5" ht="14.25" x14ac:dyDescent="0.2">
      <c r="A19" s="16">
        <v>10.7</v>
      </c>
      <c r="B19" s="14" t="s">
        <v>161</v>
      </c>
      <c r="C19" s="43" t="s">
        <v>23</v>
      </c>
      <c r="D19" s="14">
        <v>0</v>
      </c>
      <c r="E19" s="10">
        <v>4</v>
      </c>
    </row>
    <row r="20" spans="1:5" ht="14.25" x14ac:dyDescent="0.2">
      <c r="A20" s="16">
        <v>11.4</v>
      </c>
      <c r="B20" s="14" t="s">
        <v>32</v>
      </c>
      <c r="C20" s="42">
        <v>0</v>
      </c>
      <c r="D20" s="14">
        <v>0</v>
      </c>
      <c r="E20" s="10">
        <v>6</v>
      </c>
    </row>
    <row r="21" spans="1:5" ht="14.25" x14ac:dyDescent="0.2">
      <c r="A21" s="16" t="s">
        <v>164</v>
      </c>
      <c r="B21" s="14" t="s">
        <v>16</v>
      </c>
      <c r="C21" s="14">
        <v>5</v>
      </c>
      <c r="D21" s="14">
        <v>4</v>
      </c>
      <c r="E21" s="10">
        <v>6</v>
      </c>
    </row>
    <row r="22" spans="1:5" ht="14.25" x14ac:dyDescent="0.2">
      <c r="A22" s="16"/>
      <c r="B22" s="14"/>
      <c r="C22" s="14"/>
      <c r="D22" s="14"/>
      <c r="E22" s="10"/>
    </row>
    <row r="23" spans="1:5" ht="14.25" x14ac:dyDescent="0.2">
      <c r="A23" s="17"/>
      <c r="B23" s="15" t="s">
        <v>34</v>
      </c>
      <c r="C23" s="15"/>
      <c r="D23" s="15">
        <v>28</v>
      </c>
      <c r="E23" s="11">
        <v>60</v>
      </c>
    </row>
    <row r="24" spans="1:5" ht="14.25" x14ac:dyDescent="0.2">
      <c r="A24" s="17"/>
      <c r="B24" s="15" t="s">
        <v>33</v>
      </c>
      <c r="C24" s="15"/>
      <c r="D24" s="15">
        <v>18</v>
      </c>
      <c r="E24" s="11">
        <v>40</v>
      </c>
    </row>
    <row r="25" spans="1:5" ht="14.25" x14ac:dyDescent="0.2">
      <c r="A25" s="17"/>
      <c r="B25" s="15"/>
      <c r="C25" s="15"/>
      <c r="D25" s="15"/>
      <c r="E25" s="11"/>
    </row>
    <row r="26" spans="1:5" ht="15.75" x14ac:dyDescent="0.25">
      <c r="A26" s="7" t="s">
        <v>35</v>
      </c>
      <c r="C26" s="7"/>
      <c r="D26" s="7">
        <v>46</v>
      </c>
      <c r="E26" s="11">
        <v>100</v>
      </c>
    </row>
    <row r="27" spans="1:5" x14ac:dyDescent="0.2">
      <c r="E27" s="3"/>
    </row>
    <row r="28" spans="1:5" ht="15.75" x14ac:dyDescent="0.25">
      <c r="A28" s="7" t="s">
        <v>154</v>
      </c>
      <c r="D28" s="8">
        <v>0.23</v>
      </c>
    </row>
    <row r="29" spans="1:5" ht="15.75" x14ac:dyDescent="0.25">
      <c r="B29" s="7"/>
      <c r="C29" s="7"/>
      <c r="D29" s="3"/>
    </row>
    <row r="30" spans="1:5" ht="15.75" x14ac:dyDescent="0.25">
      <c r="A30" s="7" t="s">
        <v>155</v>
      </c>
      <c r="D30" s="8">
        <v>0.36</v>
      </c>
    </row>
    <row r="32" spans="1:5" ht="15.75" x14ac:dyDescent="0.25">
      <c r="A32" s="7" t="s">
        <v>175</v>
      </c>
      <c r="D32" s="37" t="s">
        <v>178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24" workbookViewId="0">
      <selection activeCell="C35" sqref="C35"/>
    </sheetView>
  </sheetViews>
  <sheetFormatPr defaultRowHeight="12.75" x14ac:dyDescent="0.2"/>
  <cols>
    <col min="3" max="3" width="29" bestFit="1" customWidth="1"/>
    <col min="4" max="4" width="15" customWidth="1"/>
  </cols>
  <sheetData>
    <row r="1" spans="3:6" x14ac:dyDescent="0.2">
      <c r="C1" t="s">
        <v>43</v>
      </c>
      <c r="D1" t="s">
        <v>44</v>
      </c>
      <c r="E1" t="s">
        <v>45</v>
      </c>
      <c r="F1" t="s">
        <v>46</v>
      </c>
    </row>
    <row r="2" spans="3:6" x14ac:dyDescent="0.2">
      <c r="C2">
        <v>16</v>
      </c>
      <c r="D2" s="19" t="s">
        <v>47</v>
      </c>
      <c r="E2">
        <v>-6.1699999999999998E-2</v>
      </c>
      <c r="F2">
        <v>-0.9617</v>
      </c>
    </row>
    <row r="3" spans="3:6" x14ac:dyDescent="0.2">
      <c r="C3">
        <v>18</v>
      </c>
      <c r="D3" s="19" t="s">
        <v>48</v>
      </c>
      <c r="E3">
        <v>-0.62509999999999999</v>
      </c>
      <c r="F3">
        <v>-0.89939999999999998</v>
      </c>
    </row>
    <row r="4" spans="3:6" x14ac:dyDescent="0.2">
      <c r="C4">
        <v>21</v>
      </c>
      <c r="D4" s="19" t="s">
        <v>49</v>
      </c>
      <c r="E4">
        <v>-1.0485</v>
      </c>
      <c r="F4">
        <v>-1.0315000000000001</v>
      </c>
    </row>
    <row r="5" spans="3:6" x14ac:dyDescent="0.2">
      <c r="C5">
        <v>25</v>
      </c>
      <c r="D5" s="19" t="s">
        <v>50</v>
      </c>
      <c r="E5">
        <v>-1.1592</v>
      </c>
      <c r="F5">
        <v>-1.0543</v>
      </c>
    </row>
    <row r="6" spans="3:6" x14ac:dyDescent="0.2">
      <c r="C6">
        <v>30</v>
      </c>
      <c r="D6" s="19" t="s">
        <v>51</v>
      </c>
      <c r="E6">
        <v>-1.3166</v>
      </c>
      <c r="F6">
        <v>-1.1283000000000001</v>
      </c>
    </row>
    <row r="7" spans="3:6" x14ac:dyDescent="0.2">
      <c r="C7">
        <v>35</v>
      </c>
      <c r="D7" s="19" t="s">
        <v>52</v>
      </c>
      <c r="E7">
        <v>-1.3527</v>
      </c>
      <c r="F7">
        <v>-1.4186000000000001</v>
      </c>
    </row>
    <row r="8" spans="3:6" x14ac:dyDescent="0.2">
      <c r="C8">
        <v>40</v>
      </c>
      <c r="D8" s="19" t="s">
        <v>53</v>
      </c>
      <c r="E8">
        <v>-1.4837</v>
      </c>
      <c r="F8">
        <v>-1.5243</v>
      </c>
    </row>
    <row r="9" spans="3:6" x14ac:dyDescent="0.2">
      <c r="C9">
        <v>50</v>
      </c>
      <c r="D9" t="s">
        <v>54</v>
      </c>
      <c r="E9">
        <v>-2.0070999999999999</v>
      </c>
      <c r="F9">
        <v>-2.4468999999999999</v>
      </c>
    </row>
    <row r="11" spans="3:6" x14ac:dyDescent="0.2">
      <c r="C11" t="s">
        <v>55</v>
      </c>
      <c r="D11" t="s">
        <v>56</v>
      </c>
    </row>
    <row r="12" spans="3:6" x14ac:dyDescent="0.2">
      <c r="C12" t="s">
        <v>57</v>
      </c>
      <c r="D12">
        <v>0</v>
      </c>
    </row>
    <row r="13" spans="3:6" x14ac:dyDescent="0.2">
      <c r="C13" t="s">
        <v>58</v>
      </c>
      <c r="D13">
        <v>-0.59079999999999999</v>
      </c>
    </row>
    <row r="14" spans="3:6" x14ac:dyDescent="0.2">
      <c r="C14" t="s">
        <v>59</v>
      </c>
      <c r="D14">
        <v>0.1772</v>
      </c>
    </row>
    <row r="15" spans="3:6" x14ac:dyDescent="0.2">
      <c r="C15" t="s">
        <v>60</v>
      </c>
      <c r="D15">
        <v>3.6799999999999999E-2</v>
      </c>
    </row>
    <row r="16" spans="3:6" x14ac:dyDescent="0.2">
      <c r="C16" t="s">
        <v>61</v>
      </c>
      <c r="D16">
        <v>-0.63229999999999997</v>
      </c>
    </row>
    <row r="17" spans="3:4" x14ac:dyDescent="0.2">
      <c r="C17" t="s">
        <v>62</v>
      </c>
      <c r="D17">
        <v>0.75480000000000003</v>
      </c>
    </row>
    <row r="18" spans="3:4" x14ac:dyDescent="0.2">
      <c r="C18" t="s">
        <v>63</v>
      </c>
      <c r="D18">
        <v>-0.1188</v>
      </c>
    </row>
    <row r="19" spans="3:4" x14ac:dyDescent="0.2">
      <c r="C19" t="s">
        <v>64</v>
      </c>
      <c r="D19">
        <v>0.2382</v>
      </c>
    </row>
    <row r="20" spans="3:4" x14ac:dyDescent="0.2">
      <c r="C20" t="s">
        <v>65</v>
      </c>
      <c r="D20">
        <v>0.65749999999999997</v>
      </c>
    </row>
    <row r="21" spans="3:4" x14ac:dyDescent="0.2">
      <c r="C21" t="s">
        <v>66</v>
      </c>
      <c r="D21">
        <v>0.3503</v>
      </c>
    </row>
    <row r="22" spans="3:4" x14ac:dyDescent="0.2">
      <c r="C22" t="s">
        <v>67</v>
      </c>
      <c r="D22">
        <v>0.1552</v>
      </c>
    </row>
    <row r="23" spans="3:4" x14ac:dyDescent="0.2">
      <c r="C23" t="s">
        <v>68</v>
      </c>
      <c r="D23">
        <v>0.73340000000000005</v>
      </c>
    </row>
    <row r="24" spans="3:4" x14ac:dyDescent="0.2">
      <c r="C24" t="s">
        <v>69</v>
      </c>
      <c r="D24">
        <v>0.37790000000000001</v>
      </c>
    </row>
    <row r="25" spans="3:4" x14ac:dyDescent="0.2">
      <c r="C25" t="s">
        <v>70</v>
      </c>
      <c r="D25">
        <v>0.4224</v>
      </c>
    </row>
    <row r="26" spans="3:4" x14ac:dyDescent="0.2">
      <c r="C26" t="s">
        <v>71</v>
      </c>
      <c r="D26">
        <v>-0.129</v>
      </c>
    </row>
    <row r="27" spans="3:4" x14ac:dyDescent="0.2">
      <c r="C27" t="s">
        <v>72</v>
      </c>
      <c r="D27">
        <v>0.25990000000000002</v>
      </c>
    </row>
    <row r="28" spans="3:4" x14ac:dyDescent="0.2">
      <c r="C28" t="s">
        <v>73</v>
      </c>
      <c r="D28">
        <v>0.20230000000000001</v>
      </c>
    </row>
    <row r="29" spans="3:4" x14ac:dyDescent="0.2">
      <c r="C29" t="s">
        <v>74</v>
      </c>
      <c r="D29">
        <v>-0.76080000000000003</v>
      </c>
    </row>
    <row r="30" spans="3:4" x14ac:dyDescent="0.2">
      <c r="C30" t="s">
        <v>75</v>
      </c>
      <c r="D30">
        <v>7.8799999999999995E-2</v>
      </c>
    </row>
    <row r="31" spans="3:4" x14ac:dyDescent="0.2">
      <c r="C31" t="s">
        <v>76</v>
      </c>
      <c r="D31">
        <v>-5.9900000000000002E-2</v>
      </c>
    </row>
    <row r="33" spans="1:4" x14ac:dyDescent="0.2">
      <c r="A33" t="s">
        <v>104</v>
      </c>
    </row>
    <row r="34" spans="1:4" x14ac:dyDescent="0.2">
      <c r="C34" s="25" t="e">
        <f>OGRS3!#REF!</f>
        <v>#REF!</v>
      </c>
      <c r="D34" s="26" t="e">
        <f>100*C34</f>
        <v>#REF!</v>
      </c>
    </row>
  </sheetData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bb1097-9d6a-4910-9291-650e2fb404f0">
      <Terms xmlns="http://schemas.microsoft.com/office/infopath/2007/PartnerControls"/>
    </lcf76f155ced4ddcb4097134ff3c332f>
    <Timemodified xmlns="2bbb1097-9d6a-4910-9291-650e2fb404f0" xsi:nil="true"/>
    <TaxCatchAll xmlns="dd6c32c8-5140-4b56-a13b-d6c21ab6af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449C004A59A4C9E49CA8A891FF0EC" ma:contentTypeVersion="18" ma:contentTypeDescription="Create a new document." ma:contentTypeScope="" ma:versionID="a920ec2375b2ff2a11c289c0cff9715c">
  <xsd:schema xmlns:xsd="http://www.w3.org/2001/XMLSchema" xmlns:xs="http://www.w3.org/2001/XMLSchema" xmlns:p="http://schemas.microsoft.com/office/2006/metadata/properties" xmlns:ns2="2bbb1097-9d6a-4910-9291-650e2fb404f0" xmlns:ns3="dd6c32c8-5140-4b56-a13b-d6c21ab6af12" targetNamespace="http://schemas.microsoft.com/office/2006/metadata/properties" ma:root="true" ma:fieldsID="83d390a56e8e39bb2253b7c51e2a74c5" ns2:_="" ns3:_="">
    <xsd:import namespace="2bbb1097-9d6a-4910-9291-650e2fb404f0"/>
    <xsd:import namespace="dd6c32c8-5140-4b56-a13b-d6c21ab6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imemodifi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b1097-9d6a-4910-9291-650e2fb40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5ca041-faaa-4324-b8a3-aa3070b591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memodified" ma:index="24" nillable="true" ma:displayName="Time modified" ma:format="DateOnly" ma:internalName="Timemodified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c32c8-5140-4b56-a13b-d6c21ab6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06351d-36b7-449a-b07b-f4f2a9d8f2de}" ma:internalName="TaxCatchAll" ma:showField="CatchAllData" ma:web="dd6c32c8-5140-4b56-a13b-d6c21ab6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291D9-235E-456F-BED4-2468E097EC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F2D75-9F10-4F02-8D44-4D80762C140B}">
  <ds:schemaRefs>
    <ds:schemaRef ds:uri="dd6c32c8-5140-4b56-a13b-d6c21ab6af12"/>
    <ds:schemaRef ds:uri="http://purl.org/dc/dcmitype/"/>
    <ds:schemaRef ds:uri="2bbb1097-9d6a-4910-9291-650e2fb404f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75A16E-F414-4385-BE36-48DAD2C4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b1097-9d6a-4910-9291-650e2fb404f0"/>
    <ds:schemaRef ds:uri="dd6c32c8-5140-4b56-a13b-d6c21ab6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OGRS3</vt:lpstr>
      <vt:lpstr>OGP</vt:lpstr>
      <vt:lpstr>OVP</vt:lpstr>
      <vt:lpstr>Lookup</vt:lpstr>
      <vt:lpstr>OGP example</vt:lpstr>
      <vt:lpstr>OVP example</vt:lpstr>
      <vt:lpstr>Lookup tables</vt:lpstr>
      <vt:lpstr>OGP!Print_Area</vt:lpstr>
      <vt:lpstr>OVP!Print_Area</vt:lpstr>
    </vt:vector>
  </TitlesOfParts>
  <Company>Fujitsu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Howard</dc:creator>
  <cp:lastModifiedBy>Griff Ferris</cp:lastModifiedBy>
  <cp:lastPrinted>2007-12-14T15:39:14Z</cp:lastPrinted>
  <dcterms:created xsi:type="dcterms:W3CDTF">2006-12-11T10:13:01Z</dcterms:created>
  <dcterms:modified xsi:type="dcterms:W3CDTF">2023-08-03T15:10:38Z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0x010100759449C004A59A4C9E49CA8A891FF0EC</vt:lpwstr>
  </property>
  <property fmtid="{D5CDD505-2E9C-101B-9397-08002B2CF9AE}" pid="3" name="MediaServiceImageTags">
    <vt:lpwstr/>
  </property>
</Properties>
</file>